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mq742-my.sharepoint.com/personal/cristian_diaz_salud_cmq_cl/Documents/Escritorio/Escritorio/ESTADISTICACONSOLIDA/2024/INDICADORES/IAPPS/"/>
    </mc:Choice>
  </mc:AlternateContent>
  <xr:revisionPtr revIDLastSave="0" documentId="8_{99471FB9-53B9-40BB-8E92-889D33D8DA1E}" xr6:coauthVersionLast="47" xr6:coauthVersionMax="47" xr10:uidLastSave="{00000000-0000-0000-0000-000000000000}"/>
  <bookViews>
    <workbookView xWindow="-120" yWindow="-120" windowWidth="29040" windowHeight="15720" tabRatio="915" activeTab="10" xr2:uid="{94D4FC37-0F54-46B9-94BF-BB045F22CE12}"/>
  </bookViews>
  <sheets>
    <sheet name="NOMBRE" sheetId="1" r:id="rId1"/>
    <sheet name="indicadores" sheetId="28" r:id="rId2"/>
    <sheet name="Resumen indicador" sheetId="30" r:id="rId3"/>
    <sheet name="meta2.1" sheetId="2" state="hidden" r:id="rId4"/>
    <sheet name="meta2.2" sheetId="3" state="hidden" r:id="rId5"/>
    <sheet name="meta3" sheetId="4" r:id="rId6"/>
    <sheet name="meta4" sheetId="5" r:id="rId7"/>
    <sheet name="meta5" sheetId="6" r:id="rId8"/>
    <sheet name="meta6.1a" sheetId="7" r:id="rId9"/>
    <sheet name="meta6.1b" sheetId="31" r:id="rId10"/>
    <sheet name="meta6.2" sheetId="8" r:id="rId11"/>
    <sheet name="meta7" sheetId="9" r:id="rId12"/>
    <sheet name="meta8" sheetId="10" r:id="rId13"/>
    <sheet name="meta9" sheetId="11" r:id="rId14"/>
    <sheet name="meta10a" sheetId="12" r:id="rId15"/>
    <sheet name="meta10b" sheetId="13" r:id="rId16"/>
    <sheet name="meta12" sheetId="14" r:id="rId17"/>
    <sheet name="meta13" sheetId="15" r:id="rId18"/>
    <sheet name="meta14" sheetId="16" r:id="rId19"/>
    <sheet name="meta15" sheetId="17" r:id="rId20"/>
    <sheet name="meta16" sheetId="18" r:id="rId21"/>
    <sheet name="meta17" sheetId="19" r:id="rId22"/>
    <sheet name="meta18" sheetId="20" r:id="rId23"/>
    <sheet name="Cumplimiento%" sheetId="21" r:id="rId24"/>
    <sheet name="CumplimientoPonderado" sheetId="22" r:id="rId25"/>
    <sheet name="REMA" sheetId="23" r:id="rId26"/>
    <sheet name="REMB" sheetId="24" r:id="rId27"/>
    <sheet name="REMC" sheetId="25" r:id="rId28"/>
    <sheet name="REMP" sheetId="26" r:id="rId29"/>
    <sheet name="Poblacion2024" sheetId="27" r:id="rId30"/>
    <sheet name="Glosa" sheetId="29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</externalReferences>
  <definedNames>
    <definedName name="_xlnm._FilterDatabase" localSheetId="14" hidden="1">meta10a!$G$4:$G$15</definedName>
    <definedName name="_xlnm._FilterDatabase" localSheetId="15" hidden="1">meta10b!$G$6:$G$16</definedName>
    <definedName name="_xlnm._FilterDatabase" localSheetId="16" hidden="1">meta12!$G$4:$N$8</definedName>
    <definedName name="_xlnm._FilterDatabase" localSheetId="17" hidden="1">meta13!$G$4:$G$16</definedName>
    <definedName name="_xlnm._FilterDatabase" localSheetId="18" hidden="1">meta14!$G$4:$G$16</definedName>
    <definedName name="_xlnm._FilterDatabase" localSheetId="19" hidden="1">meta15!$G$4:$G$16</definedName>
    <definedName name="_xlnm._FilterDatabase" localSheetId="20" hidden="1">meta16!$G$4:$G$16</definedName>
    <definedName name="_xlnm._FilterDatabase" localSheetId="21" hidden="1">meta17!$G$4:$AA$16</definedName>
    <definedName name="_xlnm._FilterDatabase" localSheetId="22" hidden="1">meta18!$G$4:$P$16</definedName>
    <definedName name="_xlnm._FilterDatabase" localSheetId="5" hidden="1">meta3!$G$4:$Z$16</definedName>
    <definedName name="_xlnm._FilterDatabase" localSheetId="6" hidden="1">meta4!$G$4:$AL$16</definedName>
    <definedName name="_xlnm._FilterDatabase" localSheetId="7" hidden="1">meta5!$G$4:$G$16</definedName>
    <definedName name="_xlnm._FilterDatabase" localSheetId="8" hidden="1">meta6.1a!$G$4:$AA$16</definedName>
    <definedName name="_xlnm._FilterDatabase" localSheetId="9" hidden="1">meta6.1b!$G$4:$AA$16</definedName>
    <definedName name="_xlnm._FilterDatabase" localSheetId="10" hidden="1">meta6.2!$G$4:$AA$16</definedName>
    <definedName name="_xlnm._FilterDatabase" localSheetId="11" hidden="1">meta7!$G$4:$G$16</definedName>
    <definedName name="_xlnm._FilterDatabase" localSheetId="12" hidden="1">meta8!$G$4:$Z$16</definedName>
    <definedName name="_xlnm._FilterDatabase" localSheetId="13" hidden="1">meta9!$G$4:$G$16</definedName>
    <definedName name="_xlnm._FilterDatabase" localSheetId="25" hidden="1">REMA!$B$5:$C$13</definedName>
    <definedName name="_xlnm._FilterDatabase" localSheetId="26" hidden="1">REMB!$B$5:$C$13</definedName>
    <definedName name="_xlnm._FilterDatabase" localSheetId="27" hidden="1">REMC!$B$5:$C$13</definedName>
    <definedName name="_xlnm._FilterDatabase" localSheetId="28" hidden="1">REMP!$B$5:$C$12</definedName>
    <definedName name="_Toc473816742" localSheetId="1">indicadores!#REF!</definedName>
    <definedName name="_Toc473816743" localSheetId="1">indicadores!#REF!</definedName>
    <definedName name="_Toc473816744" localSheetId="1">indicadores!#REF!</definedName>
    <definedName name="_Toc473816745" localSheetId="1">indicadores!#REF!</definedName>
    <definedName name="_Toc473816746" localSheetId="1">indicadores!#REF!</definedName>
    <definedName name="_xlnm.Print_Area" localSheetId="30">Glosa!$A$1:$BE$19</definedName>
    <definedName name="OLE_LINK1" localSheetId="1">indicadores!#REF!</definedName>
    <definedName name="_xlnm.Print_Titles" localSheetId="25">REMA!$B:$C</definedName>
    <definedName name="_xlnm.Print_Titles" localSheetId="26">REMB!$B:$C</definedName>
    <definedName name="_xlnm.Print_Titles" localSheetId="27">REMC!$B:$C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V11" i="24" l="1"/>
  <c r="N10" i="24"/>
  <c r="GO12" i="25" l="1"/>
  <c r="GO11" i="25"/>
  <c r="GO10" i="25"/>
  <c r="GO9" i="25"/>
  <c r="GO8" i="25"/>
  <c r="GO7" i="25"/>
  <c r="GO6" i="25"/>
  <c r="GP12" i="25"/>
  <c r="GP11" i="25"/>
  <c r="GP10" i="25"/>
  <c r="GP9" i="25"/>
  <c r="GP8" i="25"/>
  <c r="GP7" i="25"/>
  <c r="GP6" i="25"/>
  <c r="GQ12" i="25"/>
  <c r="GQ11" i="25"/>
  <c r="GQ10" i="25"/>
  <c r="GQ9" i="25"/>
  <c r="GQ8" i="25"/>
  <c r="GQ7" i="25"/>
  <c r="GQ6" i="25"/>
  <c r="GA12" i="25"/>
  <c r="GA11" i="25"/>
  <c r="GA10" i="25"/>
  <c r="GA9" i="25"/>
  <c r="GA8" i="25"/>
  <c r="GA7" i="25"/>
  <c r="GA6" i="25"/>
  <c r="GB12" i="25"/>
  <c r="GB11" i="25"/>
  <c r="GB10" i="25"/>
  <c r="GB9" i="25"/>
  <c r="GB8" i="25"/>
  <c r="GB7" i="25"/>
  <c r="GB6" i="25"/>
  <c r="GC12" i="25"/>
  <c r="GC11" i="25"/>
  <c r="GC10" i="25"/>
  <c r="GC9" i="25"/>
  <c r="GC8" i="25"/>
  <c r="GC7" i="25"/>
  <c r="GC6" i="25"/>
  <c r="FO12" i="25"/>
  <c r="FO11" i="25"/>
  <c r="FO10" i="25"/>
  <c r="FO9" i="25"/>
  <c r="FO8" i="25"/>
  <c r="FO7" i="25"/>
  <c r="FO6" i="25"/>
  <c r="FN12" i="25"/>
  <c r="FN11" i="25"/>
  <c r="FN10" i="25"/>
  <c r="FN9" i="25"/>
  <c r="FN8" i="25"/>
  <c r="FN7" i="25"/>
  <c r="FN6" i="25"/>
  <c r="FM12" i="25"/>
  <c r="FM11" i="25"/>
  <c r="FM10" i="25"/>
  <c r="FM9" i="25"/>
  <c r="FM8" i="25"/>
  <c r="FM7" i="25"/>
  <c r="FM6" i="25"/>
  <c r="EY12" i="25"/>
  <c r="EY11" i="25"/>
  <c r="EY10" i="25"/>
  <c r="EY9" i="25"/>
  <c r="EY8" i="25"/>
  <c r="EY7" i="25"/>
  <c r="EY6" i="25"/>
  <c r="EZ12" i="25"/>
  <c r="EZ11" i="25"/>
  <c r="EZ10" i="25"/>
  <c r="EZ9" i="25"/>
  <c r="EZ8" i="25"/>
  <c r="EZ7" i="25"/>
  <c r="EZ6" i="25"/>
  <c r="FA12" i="25"/>
  <c r="FA11" i="25"/>
  <c r="FA10" i="25"/>
  <c r="FA9" i="25"/>
  <c r="FA8" i="25"/>
  <c r="FA7" i="25"/>
  <c r="FA6" i="25"/>
  <c r="EM12" i="25"/>
  <c r="EM11" i="25"/>
  <c r="EM10" i="25"/>
  <c r="EM9" i="25"/>
  <c r="EM8" i="25"/>
  <c r="EM7" i="25"/>
  <c r="EM6" i="25"/>
  <c r="EL12" i="25"/>
  <c r="EL11" i="25"/>
  <c r="EL10" i="25"/>
  <c r="EL9" i="25"/>
  <c r="EL8" i="25"/>
  <c r="EL7" i="25"/>
  <c r="EL6" i="25"/>
  <c r="EK12" i="25"/>
  <c r="EK11" i="25"/>
  <c r="EK10" i="25"/>
  <c r="EK9" i="25"/>
  <c r="EK8" i="25"/>
  <c r="EK7" i="25"/>
  <c r="EK6" i="25"/>
  <c r="DI12" i="25"/>
  <c r="DI11" i="25"/>
  <c r="DI10" i="25"/>
  <c r="DI9" i="25"/>
  <c r="DI8" i="25"/>
  <c r="DI7" i="25"/>
  <c r="DI6" i="25"/>
  <c r="DJ12" i="25"/>
  <c r="DJ11" i="25"/>
  <c r="DJ10" i="25"/>
  <c r="DJ9" i="25"/>
  <c r="DJ8" i="25"/>
  <c r="DJ7" i="25"/>
  <c r="DJ6" i="25"/>
  <c r="DK12" i="25"/>
  <c r="DK11" i="25"/>
  <c r="DK10" i="25"/>
  <c r="DK9" i="25"/>
  <c r="DK8" i="25"/>
  <c r="DK7" i="25"/>
  <c r="DK6" i="25"/>
  <c r="CU12" i="25"/>
  <c r="CU11" i="25"/>
  <c r="CU10" i="25"/>
  <c r="CU9" i="25"/>
  <c r="CU8" i="25"/>
  <c r="CU7" i="25"/>
  <c r="CU6" i="25"/>
  <c r="CV12" i="25"/>
  <c r="CV11" i="25"/>
  <c r="CV10" i="25"/>
  <c r="CV9" i="25"/>
  <c r="CV8" i="25"/>
  <c r="CV7" i="25"/>
  <c r="CV6" i="25"/>
  <c r="CW12" i="25"/>
  <c r="CW11" i="25"/>
  <c r="CW10" i="25"/>
  <c r="CW9" i="25"/>
  <c r="CW8" i="25"/>
  <c r="CW7" i="25"/>
  <c r="CW6" i="25"/>
  <c r="CI12" i="25"/>
  <c r="CI11" i="25"/>
  <c r="CI10" i="25"/>
  <c r="CI9" i="25"/>
  <c r="CI8" i="25"/>
  <c r="CI7" i="25"/>
  <c r="CI6" i="25"/>
  <c r="CH12" i="25"/>
  <c r="CH11" i="25"/>
  <c r="CH10" i="25"/>
  <c r="CH9" i="25"/>
  <c r="CH8" i="25"/>
  <c r="CH7" i="25"/>
  <c r="CH6" i="25"/>
  <c r="CG12" i="25"/>
  <c r="CG11" i="25"/>
  <c r="CG10" i="25"/>
  <c r="CG9" i="25"/>
  <c r="CG8" i="25"/>
  <c r="CG7" i="25"/>
  <c r="CG6" i="25"/>
  <c r="BS12" i="25"/>
  <c r="BS11" i="25"/>
  <c r="BS10" i="25"/>
  <c r="BS9" i="25"/>
  <c r="BS8" i="25"/>
  <c r="BS7" i="25"/>
  <c r="BS6" i="25"/>
  <c r="BT12" i="25"/>
  <c r="BT11" i="25"/>
  <c r="BT10" i="25"/>
  <c r="BT9" i="25"/>
  <c r="BT8" i="25"/>
  <c r="BT7" i="25"/>
  <c r="BT6" i="25"/>
  <c r="BU12" i="25"/>
  <c r="BU11" i="25"/>
  <c r="BU10" i="25"/>
  <c r="BU9" i="25"/>
  <c r="BU8" i="25"/>
  <c r="BU7" i="25"/>
  <c r="BU6" i="25"/>
  <c r="BG12" i="25"/>
  <c r="BG11" i="25"/>
  <c r="BG10" i="25"/>
  <c r="BG9" i="25"/>
  <c r="BG8" i="25"/>
  <c r="BG7" i="25"/>
  <c r="BG6" i="25"/>
  <c r="BF12" i="25"/>
  <c r="BF11" i="25"/>
  <c r="BF10" i="25"/>
  <c r="BF9" i="25"/>
  <c r="BF8" i="25"/>
  <c r="BF7" i="25"/>
  <c r="BF6" i="25"/>
  <c r="BE12" i="25"/>
  <c r="BE11" i="25"/>
  <c r="BE10" i="25"/>
  <c r="BE9" i="25"/>
  <c r="BE8" i="25"/>
  <c r="BE7" i="25"/>
  <c r="BE6" i="25"/>
  <c r="AQ12" i="25"/>
  <c r="AQ11" i="25"/>
  <c r="AQ10" i="25"/>
  <c r="AQ9" i="25"/>
  <c r="AQ8" i="25"/>
  <c r="AQ7" i="25"/>
  <c r="AQ6" i="25"/>
  <c r="AR12" i="25"/>
  <c r="AR11" i="25"/>
  <c r="AR10" i="25"/>
  <c r="AR9" i="25"/>
  <c r="AR8" i="25"/>
  <c r="AR7" i="25"/>
  <c r="AR6" i="25"/>
  <c r="AS12" i="25"/>
  <c r="AS11" i="25"/>
  <c r="AS10" i="25"/>
  <c r="AS9" i="25"/>
  <c r="AS8" i="25"/>
  <c r="AS7" i="25"/>
  <c r="AS6" i="25"/>
  <c r="AD12" i="25"/>
  <c r="AD11" i="25"/>
  <c r="AD10" i="25"/>
  <c r="AD9" i="25"/>
  <c r="AD8" i="25"/>
  <c r="AD7" i="25"/>
  <c r="AD6" i="25"/>
  <c r="AC12" i="25"/>
  <c r="AC11" i="25"/>
  <c r="AC10" i="25"/>
  <c r="AC9" i="25"/>
  <c r="AC8" i="25"/>
  <c r="AC7" i="25"/>
  <c r="AC6" i="25"/>
  <c r="AB12" i="25"/>
  <c r="AB11" i="25"/>
  <c r="AB10" i="25"/>
  <c r="AB9" i="25"/>
  <c r="AB8" i="25"/>
  <c r="AB7" i="25"/>
  <c r="AB6" i="25"/>
  <c r="P12" i="25"/>
  <c r="P11" i="25"/>
  <c r="P10" i="25"/>
  <c r="P9" i="25"/>
  <c r="P8" i="25"/>
  <c r="P7" i="25"/>
  <c r="P6" i="25"/>
  <c r="O12" i="25"/>
  <c r="O11" i="25"/>
  <c r="O10" i="25"/>
  <c r="O9" i="25"/>
  <c r="O8" i="25"/>
  <c r="O7" i="25"/>
  <c r="O6" i="25"/>
  <c r="N12" i="25"/>
  <c r="N11" i="25"/>
  <c r="N10" i="25"/>
  <c r="N9" i="25"/>
  <c r="N8" i="25"/>
  <c r="N7" i="25"/>
  <c r="N6" i="25"/>
  <c r="DV12" i="24"/>
  <c r="DV10" i="24"/>
  <c r="DV9" i="24"/>
  <c r="DV8" i="24"/>
  <c r="DV7" i="24"/>
  <c r="DV6" i="24"/>
  <c r="DW12" i="24"/>
  <c r="DW11" i="24"/>
  <c r="DW10" i="24"/>
  <c r="DW9" i="24"/>
  <c r="DW8" i="24"/>
  <c r="DW7" i="24"/>
  <c r="DW6" i="24"/>
  <c r="DX12" i="24"/>
  <c r="DX11" i="24"/>
  <c r="DX10" i="24"/>
  <c r="DX9" i="24"/>
  <c r="DX8" i="24"/>
  <c r="DX7" i="24"/>
  <c r="DX6" i="24"/>
  <c r="CH12" i="24"/>
  <c r="CH11" i="24"/>
  <c r="CH10" i="24"/>
  <c r="CH9" i="24"/>
  <c r="CH8" i="24"/>
  <c r="CH7" i="24"/>
  <c r="CH6" i="24"/>
  <c r="CG12" i="24"/>
  <c r="CG11" i="24"/>
  <c r="CG10" i="24"/>
  <c r="CG9" i="24"/>
  <c r="CG8" i="24"/>
  <c r="CG7" i="24"/>
  <c r="CG6" i="24"/>
  <c r="CF12" i="24"/>
  <c r="CF11" i="24"/>
  <c r="CF10" i="24"/>
  <c r="CF9" i="24"/>
  <c r="CF8" i="24"/>
  <c r="CF7" i="24"/>
  <c r="CF6" i="24"/>
  <c r="AP12" i="24"/>
  <c r="AP11" i="24"/>
  <c r="AP10" i="24"/>
  <c r="AP9" i="24"/>
  <c r="AP8" i="24"/>
  <c r="AP7" i="24"/>
  <c r="AP6" i="24"/>
  <c r="AQ12" i="24"/>
  <c r="AQ11" i="24"/>
  <c r="AQ10" i="24"/>
  <c r="AQ9" i="24"/>
  <c r="AQ8" i="24"/>
  <c r="AQ7" i="24"/>
  <c r="AQ6" i="24"/>
  <c r="AR12" i="24"/>
  <c r="AR11" i="24"/>
  <c r="AR10" i="24"/>
  <c r="AR9" i="24"/>
  <c r="AR8" i="24"/>
  <c r="AR7" i="24"/>
  <c r="AR6" i="24"/>
  <c r="AB12" i="24"/>
  <c r="AB11" i="24"/>
  <c r="AB10" i="24"/>
  <c r="AB9" i="24"/>
  <c r="AB8" i="24"/>
  <c r="AB7" i="24"/>
  <c r="AB6" i="24"/>
  <c r="AC12" i="24"/>
  <c r="AC11" i="24"/>
  <c r="AC10" i="24"/>
  <c r="AC9" i="24"/>
  <c r="AC8" i="24"/>
  <c r="AC7" i="24"/>
  <c r="AC6" i="24"/>
  <c r="AD12" i="24"/>
  <c r="AD11" i="24"/>
  <c r="AD10" i="24"/>
  <c r="AD9" i="24"/>
  <c r="AD8" i="24"/>
  <c r="AD7" i="24"/>
  <c r="AD6" i="24"/>
  <c r="N12" i="24"/>
  <c r="N11" i="24"/>
  <c r="N9" i="24"/>
  <c r="N8" i="24"/>
  <c r="N7" i="24"/>
  <c r="N6" i="24"/>
  <c r="P12" i="24"/>
  <c r="P11" i="24"/>
  <c r="P10" i="24"/>
  <c r="P9" i="24"/>
  <c r="P8" i="24"/>
  <c r="P7" i="24"/>
  <c r="P6" i="24"/>
  <c r="O12" i="24"/>
  <c r="O11" i="24"/>
  <c r="O10" i="24"/>
  <c r="O9" i="24"/>
  <c r="O8" i="24"/>
  <c r="O7" i="24"/>
  <c r="O6" i="24"/>
  <c r="CL12" i="23"/>
  <c r="CL11" i="23"/>
  <c r="CL10" i="23"/>
  <c r="CL9" i="23"/>
  <c r="CL8" i="23"/>
  <c r="CL7" i="23"/>
  <c r="CL6" i="23"/>
  <c r="CM12" i="23"/>
  <c r="CM11" i="23"/>
  <c r="CM10" i="23"/>
  <c r="CM9" i="23"/>
  <c r="CM8" i="23"/>
  <c r="CM7" i="23"/>
  <c r="CM6" i="23"/>
  <c r="CZ12" i="23"/>
  <c r="CZ11" i="23"/>
  <c r="CZ10" i="23"/>
  <c r="CZ9" i="23"/>
  <c r="CZ8" i="23"/>
  <c r="CZ7" i="23"/>
  <c r="CZ6" i="23"/>
  <c r="DA12" i="23"/>
  <c r="DA11" i="23"/>
  <c r="DA10" i="23"/>
  <c r="DA9" i="23"/>
  <c r="DA8" i="23"/>
  <c r="DA7" i="23"/>
  <c r="DA6" i="23"/>
  <c r="DN12" i="23"/>
  <c r="DN11" i="23"/>
  <c r="DN10" i="23"/>
  <c r="DN9" i="23"/>
  <c r="DN8" i="23"/>
  <c r="DN7" i="23"/>
  <c r="DN6" i="23"/>
  <c r="DM12" i="23"/>
  <c r="DM11" i="23"/>
  <c r="DM10" i="23"/>
  <c r="DM9" i="23"/>
  <c r="DM8" i="23"/>
  <c r="DM7" i="23"/>
  <c r="DM6" i="23"/>
  <c r="DL12" i="23"/>
  <c r="DL11" i="23"/>
  <c r="DL10" i="23"/>
  <c r="DL9" i="23"/>
  <c r="DL8" i="23"/>
  <c r="DL7" i="23"/>
  <c r="DL6" i="23"/>
  <c r="CY12" i="23"/>
  <c r="CY11" i="23"/>
  <c r="CY10" i="23"/>
  <c r="CY9" i="23"/>
  <c r="CY8" i="23"/>
  <c r="CY7" i="23"/>
  <c r="CY6" i="23"/>
  <c r="CK12" i="23"/>
  <c r="CK11" i="23"/>
  <c r="CK10" i="23"/>
  <c r="CK9" i="23"/>
  <c r="CK8" i="23"/>
  <c r="CK7" i="23"/>
  <c r="CK6" i="23"/>
  <c r="BW12" i="23"/>
  <c r="BW11" i="23"/>
  <c r="BW10" i="23"/>
  <c r="BW9" i="23"/>
  <c r="BW8" i="23"/>
  <c r="BW7" i="23"/>
  <c r="BW6" i="23"/>
  <c r="BY12" i="23"/>
  <c r="BY11" i="23"/>
  <c r="BY10" i="23"/>
  <c r="BY9" i="23"/>
  <c r="BY8" i="23"/>
  <c r="BY7" i="23"/>
  <c r="BY6" i="23"/>
  <c r="BX12" i="23"/>
  <c r="BX11" i="23"/>
  <c r="BX10" i="23"/>
  <c r="BX9" i="23"/>
  <c r="BX8" i="23"/>
  <c r="BX7" i="23"/>
  <c r="BX6" i="23"/>
  <c r="BJ12" i="23"/>
  <c r="BJ11" i="23"/>
  <c r="BJ10" i="23"/>
  <c r="BJ9" i="23"/>
  <c r="BJ8" i="23"/>
  <c r="BJ7" i="23"/>
  <c r="BJ6" i="23"/>
  <c r="BK12" i="23"/>
  <c r="BK11" i="23"/>
  <c r="BK10" i="23"/>
  <c r="BK9" i="23"/>
  <c r="BK8" i="23"/>
  <c r="BK7" i="23"/>
  <c r="BK6" i="23"/>
  <c r="AW12" i="23"/>
  <c r="AW11" i="23"/>
  <c r="AW10" i="23"/>
  <c r="AW9" i="23"/>
  <c r="AW8" i="23"/>
  <c r="AW7" i="23"/>
  <c r="AW6" i="23"/>
  <c r="AV12" i="23"/>
  <c r="AV11" i="23"/>
  <c r="AV10" i="23"/>
  <c r="AV9" i="23"/>
  <c r="AV8" i="23"/>
  <c r="AV7" i="23"/>
  <c r="AV6" i="23"/>
  <c r="BI12" i="23"/>
  <c r="BI11" i="23"/>
  <c r="BI10" i="23"/>
  <c r="BI9" i="23"/>
  <c r="BI8" i="23"/>
  <c r="BI7" i="23"/>
  <c r="BI6" i="23"/>
  <c r="AU12" i="23"/>
  <c r="AU11" i="23"/>
  <c r="AU10" i="23"/>
  <c r="AU9" i="23"/>
  <c r="AU8" i="23"/>
  <c r="AU7" i="23"/>
  <c r="AU6" i="23"/>
  <c r="AD12" i="23"/>
  <c r="AD11" i="23"/>
  <c r="AD10" i="23"/>
  <c r="AD9" i="23"/>
  <c r="AD8" i="23"/>
  <c r="AD7" i="23"/>
  <c r="AD6" i="23"/>
  <c r="AC12" i="23"/>
  <c r="AC11" i="23"/>
  <c r="AC10" i="23"/>
  <c r="AC9" i="23"/>
  <c r="AC8" i="23"/>
  <c r="AC7" i="23"/>
  <c r="AC6" i="23"/>
  <c r="P12" i="23"/>
  <c r="P11" i="23"/>
  <c r="P10" i="23"/>
  <c r="P9" i="23"/>
  <c r="P8" i="23"/>
  <c r="P7" i="23"/>
  <c r="P6" i="23"/>
  <c r="O12" i="23"/>
  <c r="O11" i="23"/>
  <c r="O10" i="23"/>
  <c r="O9" i="23"/>
  <c r="O8" i="23"/>
  <c r="O7" i="23"/>
  <c r="O6" i="23"/>
  <c r="AB12" i="23"/>
  <c r="R15" i="31" s="1"/>
  <c r="AB11" i="23"/>
  <c r="R14" i="31" s="1"/>
  <c r="AB10" i="23"/>
  <c r="R13" i="31" s="1"/>
  <c r="AB9" i="23"/>
  <c r="R12" i="31" s="1"/>
  <c r="AB8" i="23"/>
  <c r="R11" i="31" s="1"/>
  <c r="AB7" i="23"/>
  <c r="R10" i="31" s="1"/>
  <c r="AB6" i="23"/>
  <c r="R9" i="31" s="1"/>
  <c r="N12" i="23"/>
  <c r="N11" i="23"/>
  <c r="N10" i="23"/>
  <c r="N9" i="23"/>
  <c r="N8" i="23"/>
  <c r="N7" i="23"/>
  <c r="N6" i="23"/>
  <c r="AS12" i="23"/>
  <c r="AS11" i="23"/>
  <c r="AS10" i="23"/>
  <c r="AS9" i="23"/>
  <c r="AS8" i="23"/>
  <c r="AS7" i="23"/>
  <c r="AS6" i="23"/>
  <c r="AT12" i="23"/>
  <c r="AT11" i="23"/>
  <c r="AT10" i="23"/>
  <c r="AT9" i="23"/>
  <c r="AT8" i="23"/>
  <c r="AT7" i="23"/>
  <c r="AT6" i="23"/>
  <c r="BU16" i="12"/>
  <c r="Y9" i="16"/>
  <c r="V9" i="16"/>
  <c r="J9" i="16"/>
  <c r="V14" i="17"/>
  <c r="J14" i="17"/>
  <c r="V14" i="18"/>
  <c r="Y14" i="18"/>
  <c r="J14" i="18"/>
  <c r="AF12" i="26"/>
  <c r="J15" i="20" s="1"/>
  <c r="AF11" i="26"/>
  <c r="J14" i="20" s="1"/>
  <c r="AF10" i="26"/>
  <c r="J13" i="20" s="1"/>
  <c r="AF9" i="26"/>
  <c r="J12" i="20" s="1"/>
  <c r="AF8" i="26"/>
  <c r="J11" i="20" s="1"/>
  <c r="AF7" i="26"/>
  <c r="J10" i="20" s="1"/>
  <c r="AF6" i="26"/>
  <c r="J9" i="20" s="1"/>
  <c r="V11" i="20" l="1"/>
  <c r="Y11" i="20"/>
  <c r="J16" i="20"/>
  <c r="V9" i="20"/>
  <c r="Y9" i="20"/>
  <c r="V10" i="20"/>
  <c r="Y10" i="20"/>
  <c r="V12" i="20"/>
  <c r="Y12" i="20"/>
  <c r="Y13" i="20"/>
  <c r="V13" i="20"/>
  <c r="V14" i="20"/>
  <c r="Y14" i="20"/>
  <c r="V15" i="20"/>
  <c r="Y15" i="20"/>
  <c r="AE10" i="26"/>
  <c r="AE6" i="26"/>
  <c r="AE12" i="26"/>
  <c r="AE11" i="26"/>
  <c r="AE9" i="26"/>
  <c r="AE8" i="26"/>
  <c r="Y16" i="20" l="1"/>
  <c r="V16" i="20"/>
  <c r="AD7" i="26"/>
  <c r="J10" i="16" s="1"/>
  <c r="AD10" i="26"/>
  <c r="J13" i="16" s="1"/>
  <c r="AD8" i="26"/>
  <c r="J11" i="16" s="1"/>
  <c r="AD12" i="26"/>
  <c r="J15" i="16" s="1"/>
  <c r="AD11" i="26"/>
  <c r="J14" i="16" s="1"/>
  <c r="AD9" i="26"/>
  <c r="J12" i="16" s="1"/>
  <c r="AD6" i="26"/>
  <c r="AC12" i="26"/>
  <c r="AC11" i="26"/>
  <c r="AC10" i="26"/>
  <c r="AC9" i="26"/>
  <c r="AC8" i="26"/>
  <c r="AC7" i="26"/>
  <c r="AC6" i="26"/>
  <c r="V15" i="16" l="1"/>
  <c r="Y15" i="16"/>
  <c r="V12" i="16"/>
  <c r="Y12" i="16"/>
  <c r="V11" i="16"/>
  <c r="Y11" i="16"/>
  <c r="V13" i="16"/>
  <c r="Y13" i="16"/>
  <c r="V14" i="16"/>
  <c r="Y14" i="16"/>
  <c r="V10" i="16"/>
  <c r="J16" i="16"/>
  <c r="Y10" i="16"/>
  <c r="AB12" i="26"/>
  <c r="AQ15" i="12" s="1"/>
  <c r="AB11" i="26"/>
  <c r="AQ14" i="12" s="1"/>
  <c r="AB10" i="26"/>
  <c r="AQ13" i="12" s="1"/>
  <c r="AB9" i="26"/>
  <c r="AQ12" i="12" s="1"/>
  <c r="AB8" i="26"/>
  <c r="AQ11" i="12" s="1"/>
  <c r="AB7" i="26"/>
  <c r="AQ10" i="12" s="1"/>
  <c r="AB6" i="26"/>
  <c r="AQ9" i="12" s="1"/>
  <c r="AA12" i="26"/>
  <c r="AA11" i="26"/>
  <c r="AA10" i="26"/>
  <c r="AA9" i="26"/>
  <c r="AA8" i="26"/>
  <c r="AA7" i="26"/>
  <c r="AA6" i="26"/>
  <c r="Z12" i="26"/>
  <c r="Z11" i="26"/>
  <c r="Z10" i="26"/>
  <c r="Z9" i="26"/>
  <c r="Z8" i="26"/>
  <c r="Z7" i="26"/>
  <c r="Z6" i="26"/>
  <c r="Y12" i="26"/>
  <c r="J15" i="17" s="1"/>
  <c r="V15" i="17" s="1"/>
  <c r="Y11" i="26"/>
  <c r="Y10" i="26"/>
  <c r="J13" i="17" s="1"/>
  <c r="V13" i="17" s="1"/>
  <c r="Y9" i="26"/>
  <c r="J12" i="17" s="1"/>
  <c r="V12" i="17" s="1"/>
  <c r="Y8" i="26"/>
  <c r="J11" i="17" s="1"/>
  <c r="V11" i="17" s="1"/>
  <c r="Y7" i="26"/>
  <c r="J10" i="17" s="1"/>
  <c r="V10" i="17" s="1"/>
  <c r="Y6" i="26"/>
  <c r="J9" i="17" s="1"/>
  <c r="X12" i="26"/>
  <c r="J15" i="18" s="1"/>
  <c r="X11" i="26"/>
  <c r="X10" i="26"/>
  <c r="J13" i="18" s="1"/>
  <c r="X9" i="26"/>
  <c r="J12" i="18" s="1"/>
  <c r="X8" i="26"/>
  <c r="J11" i="18" s="1"/>
  <c r="X7" i="26"/>
  <c r="J10" i="18" s="1"/>
  <c r="X6" i="26"/>
  <c r="J9" i="18" s="1"/>
  <c r="AE7" i="26"/>
  <c r="J16" i="17" l="1"/>
  <c r="V16" i="17" s="1"/>
  <c r="V9" i="17"/>
  <c r="V12" i="18"/>
  <c r="Y12" i="18"/>
  <c r="V13" i="18"/>
  <c r="Y13" i="18"/>
  <c r="J16" i="18"/>
  <c r="V9" i="18"/>
  <c r="Y9" i="18"/>
  <c r="V11" i="18"/>
  <c r="Y11" i="18"/>
  <c r="V16" i="16"/>
  <c r="Y16" i="16"/>
  <c r="V10" i="18"/>
  <c r="Y10" i="18"/>
  <c r="V15" i="18"/>
  <c r="Y15" i="18"/>
  <c r="AQ17" i="12"/>
  <c r="GN12" i="25"/>
  <c r="GN11" i="25"/>
  <c r="GN10" i="25"/>
  <c r="GN9" i="25"/>
  <c r="GN8" i="25"/>
  <c r="GN7" i="25"/>
  <c r="GN6" i="25"/>
  <c r="FZ12" i="25"/>
  <c r="FZ11" i="25"/>
  <c r="FZ10" i="25"/>
  <c r="FZ9" i="25"/>
  <c r="FZ8" i="25"/>
  <c r="FZ7" i="25"/>
  <c r="FZ6" i="25"/>
  <c r="FL12" i="25"/>
  <c r="FL11" i="25"/>
  <c r="FL10" i="25"/>
  <c r="FL9" i="25"/>
  <c r="FL8" i="25"/>
  <c r="FL7" i="25"/>
  <c r="FL6" i="25"/>
  <c r="EX12" i="25"/>
  <c r="EX11" i="25"/>
  <c r="EX10" i="25"/>
  <c r="EX9" i="25"/>
  <c r="EX8" i="25"/>
  <c r="EX7" i="25"/>
  <c r="EX6" i="25"/>
  <c r="EJ12" i="25"/>
  <c r="EJ11" i="25"/>
  <c r="EJ10" i="25"/>
  <c r="EJ9" i="25"/>
  <c r="EJ8" i="25"/>
  <c r="EJ7" i="25"/>
  <c r="EJ6" i="25"/>
  <c r="DH12" i="25"/>
  <c r="DH11" i="25"/>
  <c r="DH10" i="25"/>
  <c r="DH9" i="25"/>
  <c r="DH8" i="25"/>
  <c r="DH7" i="25"/>
  <c r="DH6" i="25"/>
  <c r="CT12" i="25"/>
  <c r="CT11" i="25"/>
  <c r="CT10" i="25"/>
  <c r="CT9" i="25"/>
  <c r="CT8" i="25"/>
  <c r="CT7" i="25"/>
  <c r="CT6" i="25"/>
  <c r="CF12" i="25"/>
  <c r="CF11" i="25"/>
  <c r="CF10" i="25"/>
  <c r="CF9" i="25"/>
  <c r="CF8" i="25"/>
  <c r="CF7" i="25"/>
  <c r="CF6" i="25"/>
  <c r="BR12" i="25"/>
  <c r="BR11" i="25"/>
  <c r="BR10" i="25"/>
  <c r="BR9" i="25"/>
  <c r="BR8" i="25"/>
  <c r="BR7" i="25"/>
  <c r="BR6" i="25"/>
  <c r="BD12" i="25"/>
  <c r="BD11" i="25"/>
  <c r="BD10" i="25"/>
  <c r="BD9" i="25"/>
  <c r="BD8" i="25"/>
  <c r="BD7" i="25"/>
  <c r="BD6" i="25"/>
  <c r="AP12" i="25"/>
  <c r="AP11" i="25"/>
  <c r="AP10" i="25"/>
  <c r="AP9" i="25"/>
  <c r="AP8" i="25"/>
  <c r="AP7" i="25"/>
  <c r="AP6" i="25"/>
  <c r="AA12" i="25"/>
  <c r="AA11" i="25"/>
  <c r="AA10" i="25"/>
  <c r="AA9" i="25"/>
  <c r="AA8" i="25"/>
  <c r="AA7" i="25"/>
  <c r="AA6" i="25"/>
  <c r="M12" i="25"/>
  <c r="M11" i="25"/>
  <c r="M10" i="25"/>
  <c r="M9" i="25"/>
  <c r="M8" i="25"/>
  <c r="M7" i="25"/>
  <c r="M6" i="25"/>
  <c r="CE12" i="24"/>
  <c r="CE11" i="24"/>
  <c r="CE10" i="24"/>
  <c r="CE9" i="24"/>
  <c r="CE8" i="24"/>
  <c r="CE7" i="24"/>
  <c r="CE6" i="24"/>
  <c r="AO12" i="24"/>
  <c r="AO11" i="24"/>
  <c r="AO10" i="24"/>
  <c r="AO9" i="24"/>
  <c r="AO8" i="24"/>
  <c r="AO7" i="24"/>
  <c r="AO6" i="24"/>
  <c r="AA12" i="24"/>
  <c r="AA11" i="24"/>
  <c r="AA10" i="24"/>
  <c r="AA9" i="24"/>
  <c r="AA8" i="24"/>
  <c r="AA7" i="24"/>
  <c r="AA6" i="24"/>
  <c r="M12" i="24"/>
  <c r="M11" i="24"/>
  <c r="M10" i="24"/>
  <c r="M9" i="24"/>
  <c r="M8" i="24"/>
  <c r="M7" i="24"/>
  <c r="M6" i="24"/>
  <c r="DU12" i="24"/>
  <c r="DU11" i="24"/>
  <c r="DU10" i="24"/>
  <c r="DU9" i="24"/>
  <c r="DU8" i="24"/>
  <c r="DU7" i="24"/>
  <c r="DU6" i="24"/>
  <c r="DK12" i="23"/>
  <c r="DK11" i="23"/>
  <c r="DK10" i="23"/>
  <c r="DK9" i="23"/>
  <c r="DK8" i="23"/>
  <c r="DK7" i="23"/>
  <c r="DK6" i="23"/>
  <c r="CX12" i="23"/>
  <c r="CX11" i="23"/>
  <c r="CX10" i="23"/>
  <c r="CX9" i="23"/>
  <c r="CX8" i="23"/>
  <c r="CX7" i="23"/>
  <c r="CX6" i="23"/>
  <c r="CJ12" i="23"/>
  <c r="CJ11" i="23"/>
  <c r="CJ10" i="23"/>
  <c r="CJ9" i="23"/>
  <c r="CJ8" i="23"/>
  <c r="CJ7" i="23"/>
  <c r="CJ6" i="23"/>
  <c r="BV12" i="23"/>
  <c r="BV11" i="23"/>
  <c r="BV10" i="23"/>
  <c r="BV9" i="23"/>
  <c r="BV8" i="23"/>
  <c r="BV7" i="23"/>
  <c r="BV6" i="23"/>
  <c r="BH12" i="23"/>
  <c r="BH11" i="23"/>
  <c r="BH10" i="23"/>
  <c r="BH9" i="23"/>
  <c r="BH8" i="23"/>
  <c r="BH7" i="23"/>
  <c r="BH6" i="23"/>
  <c r="AA12" i="23"/>
  <c r="Q15" i="31" s="1"/>
  <c r="AA11" i="23"/>
  <c r="Q14" i="31" s="1"/>
  <c r="AA10" i="23"/>
  <c r="Q13" i="31" s="1"/>
  <c r="AA9" i="23"/>
  <c r="Q12" i="31" s="1"/>
  <c r="AA8" i="23"/>
  <c r="Q11" i="31" s="1"/>
  <c r="AA7" i="23"/>
  <c r="Q10" i="31" s="1"/>
  <c r="AA6" i="23"/>
  <c r="Q9" i="31" s="1"/>
  <c r="M12" i="23"/>
  <c r="M11" i="23"/>
  <c r="M10" i="23"/>
  <c r="M9" i="23"/>
  <c r="M8" i="23"/>
  <c r="M7" i="23"/>
  <c r="M6" i="23"/>
  <c r="GM12" i="25"/>
  <c r="GM11" i="25"/>
  <c r="GM10" i="25"/>
  <c r="GM9" i="25"/>
  <c r="GM8" i="25"/>
  <c r="GM7" i="25"/>
  <c r="GM6" i="25"/>
  <c r="FK12" i="25"/>
  <c r="FK11" i="25"/>
  <c r="FK10" i="25"/>
  <c r="FK9" i="25"/>
  <c r="FK8" i="25"/>
  <c r="FK7" i="25"/>
  <c r="FK6" i="25"/>
  <c r="FY12" i="25"/>
  <c r="FY11" i="25"/>
  <c r="FY10" i="25"/>
  <c r="FY9" i="25"/>
  <c r="FY8" i="25"/>
  <c r="FY7" i="25"/>
  <c r="FY6" i="25"/>
  <c r="EW12" i="25"/>
  <c r="EW11" i="25"/>
  <c r="EW10" i="25"/>
  <c r="EW9" i="25"/>
  <c r="EW8" i="25"/>
  <c r="EW7" i="25"/>
  <c r="EW6" i="25"/>
  <c r="EI12" i="25"/>
  <c r="EI11" i="25"/>
  <c r="EI10" i="25"/>
  <c r="EI9" i="25"/>
  <c r="EI8" i="25"/>
  <c r="EI7" i="25"/>
  <c r="EI6" i="25"/>
  <c r="DG12" i="25"/>
  <c r="DG11" i="25"/>
  <c r="DG10" i="25"/>
  <c r="DG9" i="25"/>
  <c r="DG8" i="25"/>
  <c r="DG7" i="25"/>
  <c r="DG6" i="25"/>
  <c r="CS12" i="25"/>
  <c r="CS11" i="25"/>
  <c r="CS10" i="25"/>
  <c r="CS9" i="25"/>
  <c r="CS8" i="25"/>
  <c r="CS7" i="25"/>
  <c r="CS6" i="25"/>
  <c r="CE12" i="25"/>
  <c r="CE11" i="25"/>
  <c r="CE10" i="25"/>
  <c r="CE9" i="25"/>
  <c r="CE8" i="25"/>
  <c r="CE7" i="25"/>
  <c r="CE6" i="25"/>
  <c r="BQ12" i="25"/>
  <c r="BQ11" i="25"/>
  <c r="BQ10" i="25"/>
  <c r="BQ9" i="25"/>
  <c r="BQ8" i="25"/>
  <c r="BQ7" i="25"/>
  <c r="BQ6" i="25"/>
  <c r="BC12" i="25"/>
  <c r="BC11" i="25"/>
  <c r="BC10" i="25"/>
  <c r="BC9" i="25"/>
  <c r="BC8" i="25"/>
  <c r="BC7" i="25"/>
  <c r="BC6" i="25"/>
  <c r="AO12" i="25"/>
  <c r="AO11" i="25"/>
  <c r="AO10" i="25"/>
  <c r="AO9" i="25"/>
  <c r="AO8" i="25"/>
  <c r="AO7" i="25"/>
  <c r="AO6" i="25"/>
  <c r="Z12" i="25"/>
  <c r="Z11" i="25"/>
  <c r="Z10" i="25"/>
  <c r="Z9" i="25"/>
  <c r="Z8" i="25"/>
  <c r="Z7" i="25"/>
  <c r="Z6" i="25"/>
  <c r="L12" i="25"/>
  <c r="L11" i="25"/>
  <c r="L10" i="25"/>
  <c r="L9" i="25"/>
  <c r="L8" i="25"/>
  <c r="L7" i="25"/>
  <c r="L6" i="25"/>
  <c r="DT12" i="24"/>
  <c r="DT11" i="24"/>
  <c r="DT10" i="24"/>
  <c r="DT9" i="24"/>
  <c r="DT8" i="24"/>
  <c r="DT7" i="24"/>
  <c r="DT6" i="24"/>
  <c r="CD12" i="24"/>
  <c r="CD11" i="24"/>
  <c r="CD10" i="24"/>
  <c r="CD9" i="24"/>
  <c r="CD8" i="24"/>
  <c r="CD7" i="24"/>
  <c r="CD6" i="24"/>
  <c r="L12" i="24"/>
  <c r="L11" i="24"/>
  <c r="L10" i="24"/>
  <c r="L9" i="24"/>
  <c r="L8" i="24"/>
  <c r="L7" i="24"/>
  <c r="L6" i="24"/>
  <c r="Z12" i="24"/>
  <c r="Z11" i="24"/>
  <c r="Z10" i="24"/>
  <c r="Z9" i="24"/>
  <c r="Z8" i="24"/>
  <c r="Z7" i="24"/>
  <c r="Z6" i="24"/>
  <c r="AN12" i="24"/>
  <c r="AN11" i="24"/>
  <c r="AN10" i="24"/>
  <c r="AN9" i="24"/>
  <c r="AN8" i="24"/>
  <c r="AN7" i="24"/>
  <c r="AN6" i="24"/>
  <c r="DJ12" i="23"/>
  <c r="DJ11" i="23"/>
  <c r="DJ10" i="23"/>
  <c r="DJ9" i="23"/>
  <c r="DJ8" i="23"/>
  <c r="DJ7" i="23"/>
  <c r="DJ6" i="23"/>
  <c r="CW12" i="23"/>
  <c r="CW11" i="23"/>
  <c r="CW10" i="23"/>
  <c r="CW9" i="23"/>
  <c r="CW8" i="23"/>
  <c r="CW7" i="23"/>
  <c r="CW6" i="23"/>
  <c r="CI12" i="23"/>
  <c r="CI11" i="23"/>
  <c r="CI10" i="23"/>
  <c r="CI9" i="23"/>
  <c r="CI8" i="23"/>
  <c r="CI7" i="23"/>
  <c r="CI6" i="23"/>
  <c r="BU12" i="23"/>
  <c r="BU11" i="23"/>
  <c r="BU10" i="23"/>
  <c r="BU9" i="23"/>
  <c r="BU8" i="23"/>
  <c r="BU7" i="23"/>
  <c r="BU6" i="23"/>
  <c r="BG12" i="23"/>
  <c r="BG11" i="23"/>
  <c r="BG10" i="23"/>
  <c r="BG9" i="23"/>
  <c r="BG8" i="23"/>
  <c r="BG7" i="23"/>
  <c r="BG6" i="23"/>
  <c r="Z12" i="23"/>
  <c r="P15" i="31" s="1"/>
  <c r="Z11" i="23"/>
  <c r="P14" i="31" s="1"/>
  <c r="Z10" i="23"/>
  <c r="P13" i="31" s="1"/>
  <c r="Z9" i="23"/>
  <c r="P12" i="31" s="1"/>
  <c r="Z8" i="23"/>
  <c r="P11" i="31" s="1"/>
  <c r="Z7" i="23"/>
  <c r="P10" i="31" s="1"/>
  <c r="Z6" i="23"/>
  <c r="P9" i="31" s="1"/>
  <c r="L12" i="23"/>
  <c r="L11" i="23"/>
  <c r="L10" i="23"/>
  <c r="L9" i="23"/>
  <c r="L8" i="23"/>
  <c r="L7" i="23"/>
  <c r="L6" i="23"/>
  <c r="V16" i="18" l="1"/>
  <c r="Y16" i="18"/>
  <c r="DU10" i="25"/>
  <c r="DU8" i="25"/>
  <c r="DU9" i="25"/>
  <c r="DU11" i="25"/>
  <c r="DU12" i="25"/>
  <c r="DU7" i="25"/>
  <c r="DU6" i="25"/>
  <c r="AN6" i="25"/>
  <c r="AM6" i="25"/>
  <c r="AL6" i="25"/>
  <c r="AK6" i="25"/>
  <c r="AJ6" i="25"/>
  <c r="AI6" i="25"/>
  <c r="Y6" i="25" l="1"/>
  <c r="K6" i="25"/>
  <c r="J6" i="25"/>
  <c r="X6" i="25"/>
  <c r="V6" i="25"/>
  <c r="H6" i="25"/>
  <c r="U6" i="25"/>
  <c r="G6" i="25"/>
  <c r="T6" i="25"/>
  <c r="F6" i="25"/>
  <c r="E6" i="25"/>
  <c r="S6" i="25"/>
  <c r="I6" i="25"/>
  <c r="ES9" i="25" l="1"/>
  <c r="EV12" i="25" l="1"/>
  <c r="EU12" i="25"/>
  <c r="ET12" i="25"/>
  <c r="ES12" i="25"/>
  <c r="ER12" i="25"/>
  <c r="EQ12" i="25"/>
  <c r="EP12" i="25"/>
  <c r="EV11" i="25"/>
  <c r="EU11" i="25"/>
  <c r="ET11" i="25"/>
  <c r="ES11" i="25"/>
  <c r="ER11" i="25"/>
  <c r="EQ11" i="25"/>
  <c r="EP11" i="25"/>
  <c r="EV10" i="25"/>
  <c r="EU10" i="25"/>
  <c r="ET10" i="25"/>
  <c r="ES10" i="25"/>
  <c r="ER10" i="25"/>
  <c r="EQ10" i="25"/>
  <c r="EP10" i="25"/>
  <c r="EV9" i="25"/>
  <c r="EU9" i="25"/>
  <c r="ET9" i="25"/>
  <c r="EQ9" i="25"/>
  <c r="EP9" i="25"/>
  <c r="EV8" i="25"/>
  <c r="EU8" i="25"/>
  <c r="ET8" i="25"/>
  <c r="ES8" i="25"/>
  <c r="ER8" i="25"/>
  <c r="EQ8" i="25"/>
  <c r="EP8" i="25"/>
  <c r="EV7" i="25"/>
  <c r="EU7" i="25"/>
  <c r="ET7" i="25"/>
  <c r="ES7" i="25"/>
  <c r="ER7" i="25"/>
  <c r="EQ7" i="25"/>
  <c r="EP7" i="25"/>
  <c r="EV6" i="25"/>
  <c r="EU6" i="25"/>
  <c r="ET6" i="25"/>
  <c r="ES6" i="25"/>
  <c r="ER9" i="25"/>
  <c r="EQ6" i="25"/>
  <c r="EP6" i="25"/>
  <c r="ER6" i="25"/>
  <c r="BK6" i="25" l="1"/>
  <c r="AZ8" i="23"/>
  <c r="BN8" i="23"/>
  <c r="Y12" i="25"/>
  <c r="X12" i="25"/>
  <c r="W12" i="25"/>
  <c r="V12" i="25"/>
  <c r="U12" i="25"/>
  <c r="T12" i="25"/>
  <c r="S12" i="25"/>
  <c r="Y11" i="25"/>
  <c r="X11" i="25"/>
  <c r="W11" i="25"/>
  <c r="V11" i="25"/>
  <c r="U11" i="25"/>
  <c r="T11" i="25"/>
  <c r="S11" i="25"/>
  <c r="Y10" i="25"/>
  <c r="X10" i="25"/>
  <c r="W10" i="25"/>
  <c r="V10" i="25"/>
  <c r="U10" i="25"/>
  <c r="T10" i="25"/>
  <c r="S10" i="25"/>
  <c r="Y9" i="25"/>
  <c r="X9" i="25"/>
  <c r="W9" i="25"/>
  <c r="V9" i="25"/>
  <c r="U9" i="25"/>
  <c r="T9" i="25"/>
  <c r="S9" i="25"/>
  <c r="Y8" i="25"/>
  <c r="X8" i="25"/>
  <c r="W8" i="25"/>
  <c r="V8" i="25"/>
  <c r="U8" i="25"/>
  <c r="T8" i="25"/>
  <c r="S8" i="25"/>
  <c r="Y7" i="25"/>
  <c r="X7" i="25"/>
  <c r="W7" i="25"/>
  <c r="V7" i="25"/>
  <c r="U7" i="25"/>
  <c r="T7" i="25"/>
  <c r="S7" i="25"/>
  <c r="AE7" i="25" s="1"/>
  <c r="W6" i="25"/>
  <c r="K12" i="25"/>
  <c r="J12" i="25"/>
  <c r="I12" i="25"/>
  <c r="H12" i="25"/>
  <c r="G12" i="25"/>
  <c r="F12" i="25"/>
  <c r="E12" i="25"/>
  <c r="K11" i="25"/>
  <c r="J11" i="25"/>
  <c r="I11" i="25"/>
  <c r="H11" i="25"/>
  <c r="G11" i="25"/>
  <c r="F11" i="25"/>
  <c r="E11" i="25"/>
  <c r="K10" i="25"/>
  <c r="J10" i="25"/>
  <c r="I10" i="25"/>
  <c r="H10" i="25"/>
  <c r="G10" i="25"/>
  <c r="F10" i="25"/>
  <c r="E10" i="25"/>
  <c r="K9" i="25"/>
  <c r="J9" i="25"/>
  <c r="I9" i="25"/>
  <c r="H9" i="25"/>
  <c r="G9" i="25"/>
  <c r="F9" i="25"/>
  <c r="E9" i="25"/>
  <c r="K8" i="25"/>
  <c r="J8" i="25"/>
  <c r="I8" i="25"/>
  <c r="H8" i="25"/>
  <c r="G8" i="25"/>
  <c r="F8" i="25"/>
  <c r="E8" i="25"/>
  <c r="K7" i="25"/>
  <c r="J7" i="25"/>
  <c r="I7" i="25"/>
  <c r="H7" i="25"/>
  <c r="G7" i="25"/>
  <c r="F7" i="25"/>
  <c r="E7" i="25"/>
  <c r="AD13" i="25"/>
  <c r="AC13" i="25"/>
  <c r="AB13" i="25"/>
  <c r="AA13" i="25"/>
  <c r="Z13" i="25"/>
  <c r="P13" i="25"/>
  <c r="O13" i="25"/>
  <c r="N13" i="25"/>
  <c r="M13" i="25"/>
  <c r="L13" i="25"/>
  <c r="Y13" i="25" l="1"/>
  <c r="E13" i="25"/>
  <c r="Q10" i="25"/>
  <c r="W13" i="25"/>
  <c r="Q8" i="25"/>
  <c r="Q11" i="25"/>
  <c r="V13" i="25"/>
  <c r="J13" i="25"/>
  <c r="Q9" i="25"/>
  <c r="AE12" i="25"/>
  <c r="T13" i="25"/>
  <c r="K13" i="25"/>
  <c r="S13" i="25"/>
  <c r="Q12" i="25"/>
  <c r="Q7" i="25"/>
  <c r="AE10" i="25"/>
  <c r="U13" i="25"/>
  <c r="AE8" i="25"/>
  <c r="AE11" i="25"/>
  <c r="F13" i="25"/>
  <c r="H13" i="25"/>
  <c r="G13" i="25"/>
  <c r="I13" i="25"/>
  <c r="X13" i="25"/>
  <c r="AE9" i="25"/>
  <c r="AE6" i="25"/>
  <c r="Q6" i="25"/>
  <c r="AE13" i="25" l="1"/>
  <c r="Q13" i="25"/>
  <c r="AN12" i="25" l="1"/>
  <c r="AM12" i="25"/>
  <c r="AL12" i="25"/>
  <c r="AK12" i="25"/>
  <c r="AJ12" i="25"/>
  <c r="AI12" i="25"/>
  <c r="AH12" i="25"/>
  <c r="AN11" i="25"/>
  <c r="AM11" i="25"/>
  <c r="AL11" i="25"/>
  <c r="AK11" i="25"/>
  <c r="AJ11" i="25"/>
  <c r="AI11" i="25"/>
  <c r="AH11" i="25"/>
  <c r="AN10" i="25"/>
  <c r="AM10" i="25"/>
  <c r="AL10" i="25"/>
  <c r="AK10" i="25"/>
  <c r="AJ10" i="25"/>
  <c r="AI10" i="25"/>
  <c r="AH10" i="25"/>
  <c r="AN9" i="25"/>
  <c r="AM9" i="25"/>
  <c r="AL9" i="25"/>
  <c r="AK9" i="25"/>
  <c r="AJ9" i="25"/>
  <c r="AI9" i="25"/>
  <c r="AH9" i="25"/>
  <c r="AN8" i="25"/>
  <c r="AM8" i="25"/>
  <c r="AL8" i="25"/>
  <c r="AK8" i="25"/>
  <c r="AJ8" i="25"/>
  <c r="AI8" i="25"/>
  <c r="AH8" i="25"/>
  <c r="AN7" i="25"/>
  <c r="AM7" i="25"/>
  <c r="AL7" i="25"/>
  <c r="AK7" i="25"/>
  <c r="AJ7" i="25"/>
  <c r="AI7" i="25"/>
  <c r="AH7" i="25"/>
  <c r="AH6" i="25"/>
  <c r="BB6" i="25" l="1"/>
  <c r="BB12" i="25"/>
  <c r="BB11" i="25"/>
  <c r="BB10" i="25"/>
  <c r="BB9" i="25"/>
  <c r="BB8" i="25"/>
  <c r="BB7" i="25"/>
  <c r="BA12" i="25"/>
  <c r="BA11" i="25"/>
  <c r="BA10" i="25"/>
  <c r="BA9" i="25"/>
  <c r="BA8" i="25"/>
  <c r="BA7" i="25"/>
  <c r="BA6" i="25"/>
  <c r="AZ12" i="25"/>
  <c r="AZ11" i="25"/>
  <c r="AZ10" i="25"/>
  <c r="AZ9" i="25"/>
  <c r="AZ8" i="25"/>
  <c r="AZ7" i="25"/>
  <c r="AZ6" i="25"/>
  <c r="AY12" i="25"/>
  <c r="AY11" i="25"/>
  <c r="AY10" i="25"/>
  <c r="AY9" i="25"/>
  <c r="AY8" i="25"/>
  <c r="AY7" i="25"/>
  <c r="AY6" i="25"/>
  <c r="AX12" i="25"/>
  <c r="AX11" i="25"/>
  <c r="AX10" i="25"/>
  <c r="AX9" i="25"/>
  <c r="AX8" i="25"/>
  <c r="AX7" i="25"/>
  <c r="AX6" i="25"/>
  <c r="AW12" i="25"/>
  <c r="AW11" i="25"/>
  <c r="AW10" i="25"/>
  <c r="AW9" i="25"/>
  <c r="AW8" i="25"/>
  <c r="AW7" i="25"/>
  <c r="AW6" i="25"/>
  <c r="AV7" i="25"/>
  <c r="AV8" i="25"/>
  <c r="AV9" i="25"/>
  <c r="AV10" i="25"/>
  <c r="AV11" i="25"/>
  <c r="AV12" i="25"/>
  <c r="AV6" i="25"/>
  <c r="W12" i="26" l="1"/>
  <c r="W11" i="26"/>
  <c r="W10" i="26"/>
  <c r="W9" i="26"/>
  <c r="W8" i="26"/>
  <c r="W7" i="26"/>
  <c r="W6" i="26"/>
  <c r="Y12" i="23" l="1"/>
  <c r="O15" i="31" s="1"/>
  <c r="Y11" i="23"/>
  <c r="O14" i="31" s="1"/>
  <c r="Y10" i="23"/>
  <c r="O13" i="31" s="1"/>
  <c r="Y9" i="23"/>
  <c r="O12" i="31" s="1"/>
  <c r="Y8" i="23"/>
  <c r="O11" i="31" s="1"/>
  <c r="Y7" i="23"/>
  <c r="O10" i="31" s="1"/>
  <c r="Y6" i="23"/>
  <c r="O9" i="31" s="1"/>
  <c r="K12" i="23"/>
  <c r="K11" i="23"/>
  <c r="K10" i="23"/>
  <c r="K9" i="23"/>
  <c r="K8" i="23"/>
  <c r="K7" i="23"/>
  <c r="K6" i="23"/>
  <c r="X12" i="23"/>
  <c r="X11" i="23"/>
  <c r="X10" i="23"/>
  <c r="X9" i="23"/>
  <c r="X8" i="23"/>
  <c r="X7" i="23"/>
  <c r="X6" i="23"/>
  <c r="J12" i="23"/>
  <c r="J11" i="23"/>
  <c r="J10" i="23"/>
  <c r="J9" i="23"/>
  <c r="J8" i="23"/>
  <c r="J7" i="23"/>
  <c r="J6" i="23"/>
  <c r="W12" i="23"/>
  <c r="W11" i="23"/>
  <c r="W10" i="23"/>
  <c r="W9" i="23"/>
  <c r="W8" i="23"/>
  <c r="W7" i="23"/>
  <c r="W6" i="23"/>
  <c r="I12" i="23"/>
  <c r="I11" i="23"/>
  <c r="I10" i="23"/>
  <c r="I9" i="23"/>
  <c r="I8" i="23"/>
  <c r="I7" i="23"/>
  <c r="I6" i="23"/>
  <c r="V12" i="23"/>
  <c r="V11" i="23"/>
  <c r="V10" i="23"/>
  <c r="V9" i="23"/>
  <c r="V8" i="23"/>
  <c r="V7" i="23"/>
  <c r="V6" i="23"/>
  <c r="H12" i="23"/>
  <c r="H11" i="23"/>
  <c r="H10" i="23"/>
  <c r="H9" i="23"/>
  <c r="H8" i="23"/>
  <c r="H7" i="23"/>
  <c r="H6" i="23"/>
  <c r="U12" i="23"/>
  <c r="U11" i="23"/>
  <c r="U10" i="23"/>
  <c r="U9" i="23"/>
  <c r="U8" i="23"/>
  <c r="U7" i="23"/>
  <c r="U6" i="23"/>
  <c r="G12" i="23"/>
  <c r="G11" i="23"/>
  <c r="G10" i="23"/>
  <c r="G9" i="23"/>
  <c r="G8" i="23"/>
  <c r="G7" i="23"/>
  <c r="G6" i="23"/>
  <c r="T12" i="23"/>
  <c r="T11" i="23"/>
  <c r="T10" i="23"/>
  <c r="T9" i="23"/>
  <c r="T8" i="23"/>
  <c r="T7" i="23"/>
  <c r="T6" i="23"/>
  <c r="F12" i="23"/>
  <c r="F11" i="23"/>
  <c r="F10" i="23"/>
  <c r="F9" i="23"/>
  <c r="F8" i="23"/>
  <c r="F7" i="23"/>
  <c r="F6" i="23"/>
  <c r="E6" i="23"/>
  <c r="S6" i="23"/>
  <c r="S7" i="23"/>
  <c r="S8" i="23"/>
  <c r="S10" i="23"/>
  <c r="S11" i="23"/>
  <c r="S12" i="23"/>
  <c r="E12" i="23"/>
  <c r="E11" i="23"/>
  <c r="E10" i="23"/>
  <c r="E8" i="23"/>
  <c r="E7" i="23"/>
  <c r="E9" i="23"/>
  <c r="S9" i="23"/>
  <c r="CD12" i="25" l="1"/>
  <c r="CD11" i="25"/>
  <c r="CD10" i="25"/>
  <c r="CD9" i="25"/>
  <c r="CD8" i="25"/>
  <c r="CD7" i="25"/>
  <c r="CD6" i="25"/>
  <c r="BP12" i="25"/>
  <c r="BP11" i="25"/>
  <c r="BP10" i="25"/>
  <c r="BP9" i="25"/>
  <c r="BP8" i="25"/>
  <c r="BP7" i="25"/>
  <c r="BP6" i="25"/>
  <c r="CV12" i="23" l="1"/>
  <c r="CV11" i="23"/>
  <c r="CV10" i="23"/>
  <c r="CV9" i="23"/>
  <c r="CV8" i="23"/>
  <c r="CV7" i="23"/>
  <c r="CV6" i="23"/>
  <c r="BT6" i="23" l="1"/>
  <c r="BT12" i="23"/>
  <c r="BT11" i="23"/>
  <c r="BT10" i="23"/>
  <c r="BT9" i="23"/>
  <c r="BT8" i="23"/>
  <c r="BT7" i="23"/>
  <c r="CH12" i="23"/>
  <c r="CH11" i="23"/>
  <c r="CH10" i="23"/>
  <c r="CH9" i="23"/>
  <c r="CH8" i="23"/>
  <c r="CH7" i="23"/>
  <c r="CH6" i="23"/>
  <c r="BF12" i="23"/>
  <c r="BF11" i="23"/>
  <c r="BF10" i="23"/>
  <c r="BF9" i="23"/>
  <c r="BF8" i="23"/>
  <c r="BF7" i="23"/>
  <c r="AR12" i="23"/>
  <c r="AR11" i="23"/>
  <c r="AR10" i="23"/>
  <c r="AR9" i="23"/>
  <c r="AR8" i="23"/>
  <c r="AR7" i="23"/>
  <c r="DI12" i="23"/>
  <c r="DI11" i="23"/>
  <c r="DI10" i="23"/>
  <c r="DI9" i="23"/>
  <c r="DI8" i="23"/>
  <c r="DI7" i="23"/>
  <c r="DI6" i="23"/>
  <c r="GL12" i="25" l="1"/>
  <c r="GL11" i="25"/>
  <c r="GL10" i="25"/>
  <c r="GL9" i="25"/>
  <c r="GL8" i="25"/>
  <c r="GL7" i="25"/>
  <c r="GL6" i="25"/>
  <c r="FX12" i="25"/>
  <c r="FX11" i="25"/>
  <c r="FX10" i="25"/>
  <c r="FX9" i="25"/>
  <c r="FX8" i="25"/>
  <c r="FX7" i="25"/>
  <c r="FX6" i="25"/>
  <c r="FJ12" i="25"/>
  <c r="FJ11" i="25"/>
  <c r="FJ10" i="25"/>
  <c r="FJ9" i="25"/>
  <c r="FJ8" i="25"/>
  <c r="FJ7" i="25"/>
  <c r="FJ6" i="25"/>
  <c r="EH12" i="25"/>
  <c r="EH11" i="25"/>
  <c r="EH10" i="25"/>
  <c r="EH9" i="25"/>
  <c r="EH8" i="25"/>
  <c r="EH7" i="25"/>
  <c r="EH6" i="25"/>
  <c r="DF12" i="25"/>
  <c r="DF11" i="25"/>
  <c r="DF10" i="25"/>
  <c r="DF9" i="25"/>
  <c r="DF8" i="25"/>
  <c r="DF7" i="25"/>
  <c r="DF6" i="25"/>
  <c r="DE12" i="25"/>
  <c r="DE11" i="25"/>
  <c r="DE10" i="25"/>
  <c r="DE9" i="25"/>
  <c r="DE8" i="25"/>
  <c r="DE7" i="25"/>
  <c r="DE6" i="25"/>
  <c r="CR12" i="25"/>
  <c r="CR11" i="25"/>
  <c r="CR10" i="25"/>
  <c r="CR9" i="25"/>
  <c r="CR8" i="25"/>
  <c r="CR7" i="25"/>
  <c r="CR6" i="25"/>
  <c r="DS12" i="24"/>
  <c r="DS11" i="24"/>
  <c r="DS10" i="24"/>
  <c r="DS9" i="24"/>
  <c r="DS8" i="24"/>
  <c r="DS7" i="24"/>
  <c r="DS6" i="24"/>
  <c r="CC12" i="24"/>
  <c r="CC11" i="24"/>
  <c r="CC10" i="24"/>
  <c r="CC9" i="24"/>
  <c r="CC8" i="24"/>
  <c r="CC7" i="24"/>
  <c r="CC6" i="24"/>
  <c r="AM12" i="24"/>
  <c r="AM11" i="24"/>
  <c r="AM10" i="24"/>
  <c r="AM9" i="24"/>
  <c r="AM8" i="24"/>
  <c r="AM7" i="24"/>
  <c r="AM6" i="24"/>
  <c r="Y12" i="24"/>
  <c r="Y11" i="24"/>
  <c r="Y10" i="24"/>
  <c r="Y9" i="24"/>
  <c r="Y8" i="24"/>
  <c r="Y7" i="24"/>
  <c r="Y6" i="24"/>
  <c r="K12" i="24"/>
  <c r="K11" i="24"/>
  <c r="K10" i="24"/>
  <c r="K9" i="24"/>
  <c r="K8" i="24"/>
  <c r="K7" i="24"/>
  <c r="K6" i="24"/>
  <c r="DT11" i="25" l="1"/>
  <c r="DT10" i="25"/>
  <c r="DT12" i="25"/>
  <c r="DT6" i="25"/>
  <c r="DT7" i="25"/>
  <c r="DT8" i="25"/>
  <c r="DT9" i="25"/>
  <c r="BF6" i="23" l="1"/>
  <c r="AR6" i="23"/>
  <c r="DR12" i="24"/>
  <c r="DQ12" i="24"/>
  <c r="DP12" i="24"/>
  <c r="DO12" i="24"/>
  <c r="DN12" i="24"/>
  <c r="DM12" i="24"/>
  <c r="DR11" i="24"/>
  <c r="DQ11" i="24"/>
  <c r="DP11" i="24"/>
  <c r="DO11" i="24"/>
  <c r="DN11" i="24"/>
  <c r="DM11" i="24"/>
  <c r="DR10" i="24"/>
  <c r="DQ10" i="24"/>
  <c r="DP10" i="24"/>
  <c r="DO10" i="24"/>
  <c r="DN10" i="24"/>
  <c r="DM10" i="24"/>
  <c r="DR9" i="24"/>
  <c r="DQ9" i="24"/>
  <c r="DP9" i="24"/>
  <c r="DO9" i="24"/>
  <c r="DN9" i="24"/>
  <c r="DM9" i="24"/>
  <c r="DR8" i="24"/>
  <c r="DQ8" i="24"/>
  <c r="DP8" i="24"/>
  <c r="DO8" i="24"/>
  <c r="DN8" i="24"/>
  <c r="DM8" i="24"/>
  <c r="DR7" i="24"/>
  <c r="DQ7" i="24"/>
  <c r="DP7" i="24"/>
  <c r="DO7" i="24"/>
  <c r="DN7" i="24"/>
  <c r="DM7" i="24"/>
  <c r="DR6" i="24"/>
  <c r="DQ6" i="24"/>
  <c r="DP6" i="24"/>
  <c r="DO6" i="24"/>
  <c r="DN6" i="24"/>
  <c r="DM6" i="24"/>
  <c r="U7" i="26" l="1"/>
  <c r="R12" i="26" l="1"/>
  <c r="AR15" i="31" s="1"/>
  <c r="Q12" i="26"/>
  <c r="R11" i="26"/>
  <c r="AR14" i="31" s="1"/>
  <c r="Q11" i="26"/>
  <c r="R10" i="26"/>
  <c r="AR13" i="31" s="1"/>
  <c r="Q10" i="26"/>
  <c r="R9" i="26"/>
  <c r="AR12" i="31" s="1"/>
  <c r="Q9" i="26"/>
  <c r="R8" i="26"/>
  <c r="AR11" i="31" s="1"/>
  <c r="Q8" i="26"/>
  <c r="R7" i="26"/>
  <c r="AR10" i="31" s="1"/>
  <c r="Q7" i="26"/>
  <c r="Q6" i="26"/>
  <c r="R6" i="26"/>
  <c r="AR9" i="31" s="1"/>
  <c r="BT16" i="12" l="1"/>
  <c r="I10" i="16"/>
  <c r="I15" i="20"/>
  <c r="I14" i="20"/>
  <c r="I13" i="20"/>
  <c r="I12" i="20"/>
  <c r="I11" i="20"/>
  <c r="I10" i="20"/>
  <c r="I9" i="20"/>
  <c r="V10" i="26"/>
  <c r="U10" i="26"/>
  <c r="I13" i="16" s="1"/>
  <c r="V12" i="26"/>
  <c r="U12" i="26"/>
  <c r="I15" i="16" s="1"/>
  <c r="V11" i="26"/>
  <c r="U11" i="26"/>
  <c r="I14" i="16" s="1"/>
  <c r="V9" i="26"/>
  <c r="U9" i="26"/>
  <c r="I12" i="16" s="1"/>
  <c r="V8" i="26"/>
  <c r="U8" i="26"/>
  <c r="I11" i="16" s="1"/>
  <c r="V6" i="26"/>
  <c r="V7" i="26"/>
  <c r="T12" i="26"/>
  <c r="T11" i="26"/>
  <c r="T10" i="26"/>
  <c r="T9" i="26"/>
  <c r="T8" i="26"/>
  <c r="T7" i="26"/>
  <c r="T6" i="26"/>
  <c r="I16" i="20" l="1"/>
  <c r="S12" i="26"/>
  <c r="AP15" i="12" s="1"/>
  <c r="S11" i="26"/>
  <c r="AP14" i="12" s="1"/>
  <c r="S10" i="26"/>
  <c r="AP13" i="12" s="1"/>
  <c r="S9" i="26"/>
  <c r="AP12" i="12" s="1"/>
  <c r="S8" i="26"/>
  <c r="AP11" i="12" s="1"/>
  <c r="S7" i="26"/>
  <c r="AP10" i="12" s="1"/>
  <c r="S6" i="26"/>
  <c r="AP9" i="12" s="1"/>
  <c r="AP17" i="12" l="1"/>
  <c r="P12" i="26"/>
  <c r="I15" i="17" s="1"/>
  <c r="P11" i="26"/>
  <c r="I14" i="17" s="1"/>
  <c r="P10" i="26"/>
  <c r="I13" i="17" s="1"/>
  <c r="P9" i="26"/>
  <c r="I12" i="17" s="1"/>
  <c r="P8" i="26"/>
  <c r="I11" i="17" s="1"/>
  <c r="P7" i="26"/>
  <c r="I10" i="17" s="1"/>
  <c r="P6" i="26"/>
  <c r="I9" i="17" s="1"/>
  <c r="O12" i="26"/>
  <c r="I15" i="18" s="1"/>
  <c r="O11" i="26"/>
  <c r="I14" i="18" s="1"/>
  <c r="O10" i="26"/>
  <c r="I13" i="18" s="1"/>
  <c r="O9" i="26"/>
  <c r="I12" i="18" s="1"/>
  <c r="O8" i="26"/>
  <c r="I11" i="18" s="1"/>
  <c r="O7" i="26"/>
  <c r="I10" i="18" s="1"/>
  <c r="O6" i="26"/>
  <c r="I9" i="18" s="1"/>
  <c r="I16" i="18" l="1"/>
  <c r="I16" i="17"/>
  <c r="H5" i="30"/>
  <c r="H4" i="30"/>
  <c r="H17" i="30"/>
  <c r="GK12" i="25"/>
  <c r="GK11" i="25"/>
  <c r="GK10" i="25"/>
  <c r="GK9" i="25"/>
  <c r="GK8" i="25"/>
  <c r="GK7" i="25"/>
  <c r="GK6" i="25"/>
  <c r="FW12" i="25"/>
  <c r="FW11" i="25"/>
  <c r="FW10" i="25"/>
  <c r="FW9" i="25"/>
  <c r="FW8" i="25"/>
  <c r="FW7" i="25"/>
  <c r="FW6" i="25"/>
  <c r="FI12" i="25"/>
  <c r="FI11" i="25"/>
  <c r="FI10" i="25"/>
  <c r="FI9" i="25"/>
  <c r="FI8" i="25"/>
  <c r="FI7" i="25"/>
  <c r="FI6" i="25"/>
  <c r="EG12" i="25"/>
  <c r="EG11" i="25"/>
  <c r="EG10" i="25"/>
  <c r="EG9" i="25"/>
  <c r="EG8" i="25"/>
  <c r="EG7" i="25"/>
  <c r="EG6" i="25"/>
  <c r="CQ12" i="25"/>
  <c r="CQ11" i="25"/>
  <c r="CQ10" i="25"/>
  <c r="CQ9" i="25"/>
  <c r="CQ8" i="25"/>
  <c r="CQ7" i="25"/>
  <c r="CQ6" i="25"/>
  <c r="CC12" i="25"/>
  <c r="CC11" i="25"/>
  <c r="CC10" i="25"/>
  <c r="CC9" i="25"/>
  <c r="CC8" i="25"/>
  <c r="CC7" i="25"/>
  <c r="CC6" i="25"/>
  <c r="BO12" i="25"/>
  <c r="BO11" i="25"/>
  <c r="BO10" i="25"/>
  <c r="BO9" i="25"/>
  <c r="BO8" i="25"/>
  <c r="BO7" i="25"/>
  <c r="BO6" i="25"/>
  <c r="AM13" i="25"/>
  <c r="CB12" i="24"/>
  <c r="CB11" i="24"/>
  <c r="CB10" i="24"/>
  <c r="CB9" i="24"/>
  <c r="CB8" i="24"/>
  <c r="CB7" i="24"/>
  <c r="CB6" i="24"/>
  <c r="AL12" i="24"/>
  <c r="AL11" i="24"/>
  <c r="AL10" i="24"/>
  <c r="AL9" i="24"/>
  <c r="AL8" i="24"/>
  <c r="AL7" i="24"/>
  <c r="AL6" i="24"/>
  <c r="X12" i="24"/>
  <c r="X11" i="24"/>
  <c r="X10" i="24"/>
  <c r="X9" i="24"/>
  <c r="X8" i="24"/>
  <c r="X7" i="24"/>
  <c r="X6" i="24"/>
  <c r="J12" i="24"/>
  <c r="J11" i="24"/>
  <c r="J10" i="24"/>
  <c r="J9" i="24"/>
  <c r="J8" i="24"/>
  <c r="J7" i="24"/>
  <c r="J6" i="24"/>
  <c r="AR13" i="23"/>
  <c r="BF13" i="23"/>
  <c r="CP6" i="23"/>
  <c r="AL13" i="24" l="1"/>
  <c r="Y13" i="23"/>
  <c r="CQ13" i="25"/>
  <c r="FW13" i="25"/>
  <c r="BO13" i="25"/>
  <c r="EU13" i="25"/>
  <c r="DE13" i="25"/>
  <c r="X13" i="24"/>
  <c r="CB13" i="24"/>
  <c r="GK13" i="25"/>
  <c r="BA13" i="25"/>
  <c r="DR13" i="24"/>
  <c r="FI13" i="25"/>
  <c r="CC13" i="25"/>
  <c r="EG13" i="25"/>
  <c r="J13" i="24"/>
  <c r="K13" i="23"/>
  <c r="X8" i="6"/>
  <c r="GJ12" i="25" l="1"/>
  <c r="GJ11" i="25"/>
  <c r="GJ10" i="25"/>
  <c r="GJ9" i="25"/>
  <c r="GJ8" i="25"/>
  <c r="GJ7" i="25"/>
  <c r="GJ6" i="25"/>
  <c r="FV12" i="25"/>
  <c r="FV11" i="25"/>
  <c r="FV10" i="25"/>
  <c r="FV9" i="25"/>
  <c r="FV8" i="25"/>
  <c r="FV7" i="25"/>
  <c r="FV6" i="25"/>
  <c r="FH12" i="25"/>
  <c r="FH11" i="25"/>
  <c r="FH10" i="25"/>
  <c r="FH9" i="25"/>
  <c r="FH8" i="25"/>
  <c r="FH7" i="25"/>
  <c r="FH6" i="25"/>
  <c r="EF12" i="25"/>
  <c r="EF11" i="25"/>
  <c r="EF10" i="25"/>
  <c r="EF9" i="25"/>
  <c r="EF8" i="25"/>
  <c r="EF7" i="25"/>
  <c r="EF6" i="25"/>
  <c r="DD12" i="25"/>
  <c r="DD11" i="25"/>
  <c r="DD10" i="25"/>
  <c r="DD9" i="25"/>
  <c r="DD8" i="25"/>
  <c r="DD7" i="25"/>
  <c r="DD6" i="25"/>
  <c r="CP12" i="25"/>
  <c r="CP11" i="25"/>
  <c r="CP10" i="25"/>
  <c r="CP9" i="25"/>
  <c r="CP8" i="25"/>
  <c r="CP7" i="25"/>
  <c r="CP6" i="25"/>
  <c r="CB12" i="25"/>
  <c r="CB11" i="25"/>
  <c r="CB10" i="25"/>
  <c r="CB9" i="25"/>
  <c r="CB8" i="25"/>
  <c r="CB7" i="25"/>
  <c r="CB6" i="25"/>
  <c r="BN12" i="25"/>
  <c r="BN11" i="25"/>
  <c r="BN10" i="25"/>
  <c r="BN9" i="25"/>
  <c r="BN8" i="25"/>
  <c r="BN7" i="25"/>
  <c r="BN6" i="25"/>
  <c r="CO12" i="24"/>
  <c r="CO11" i="24"/>
  <c r="CO10" i="24"/>
  <c r="CO9" i="24"/>
  <c r="CO8" i="24"/>
  <c r="CO7" i="24"/>
  <c r="CO6" i="24"/>
  <c r="CA12" i="24"/>
  <c r="CA11" i="24"/>
  <c r="CA10" i="24"/>
  <c r="CA9" i="24"/>
  <c r="CA8" i="24"/>
  <c r="CA7" i="24"/>
  <c r="CA6" i="24"/>
  <c r="AK12" i="24"/>
  <c r="AK11" i="24"/>
  <c r="AK10" i="24"/>
  <c r="AK9" i="24"/>
  <c r="AK8" i="24"/>
  <c r="AK7" i="24"/>
  <c r="AK6" i="24"/>
  <c r="W12" i="24"/>
  <c r="W11" i="24"/>
  <c r="W10" i="24"/>
  <c r="W9" i="24"/>
  <c r="W8" i="24"/>
  <c r="W7" i="24"/>
  <c r="W6" i="24"/>
  <c r="I12" i="24"/>
  <c r="I11" i="24"/>
  <c r="I10" i="24"/>
  <c r="I9" i="24"/>
  <c r="I8" i="24"/>
  <c r="I7" i="24"/>
  <c r="I6" i="24"/>
  <c r="CU12" i="23"/>
  <c r="CU11" i="23"/>
  <c r="CU10" i="23"/>
  <c r="CU9" i="23"/>
  <c r="CU8" i="23"/>
  <c r="CU7" i="23"/>
  <c r="CU6" i="23"/>
  <c r="DH12" i="23"/>
  <c r="DH11" i="23"/>
  <c r="DH10" i="23"/>
  <c r="DH9" i="23"/>
  <c r="DH8" i="23"/>
  <c r="DH7" i="23"/>
  <c r="DH6" i="23"/>
  <c r="BE12" i="23"/>
  <c r="BE11" i="23"/>
  <c r="BE10" i="23"/>
  <c r="BE9" i="23"/>
  <c r="BE8" i="23"/>
  <c r="BE7" i="23"/>
  <c r="BE6" i="23"/>
  <c r="BS12" i="23"/>
  <c r="BS11" i="23"/>
  <c r="BS10" i="23"/>
  <c r="BS9" i="23"/>
  <c r="BS8" i="23"/>
  <c r="BS7" i="23"/>
  <c r="BS6" i="23"/>
  <c r="CG12" i="23"/>
  <c r="CG11" i="23"/>
  <c r="CG10" i="23"/>
  <c r="CG9" i="23"/>
  <c r="CG8" i="23"/>
  <c r="CG7" i="23"/>
  <c r="CG6" i="23"/>
  <c r="AQ12" i="23"/>
  <c r="AQ11" i="23"/>
  <c r="AQ10" i="23"/>
  <c r="AQ9" i="23"/>
  <c r="AQ8" i="23"/>
  <c r="AQ7" i="23"/>
  <c r="AQ6" i="23"/>
  <c r="N15" i="31"/>
  <c r="N14" i="31"/>
  <c r="N13" i="31"/>
  <c r="N12" i="31"/>
  <c r="N11" i="31"/>
  <c r="N10" i="31"/>
  <c r="N9" i="31"/>
  <c r="DG12" i="23"/>
  <c r="DG11" i="23"/>
  <c r="DG10" i="23"/>
  <c r="DG9" i="23"/>
  <c r="DG8" i="23"/>
  <c r="DG7" i="23"/>
  <c r="DG6" i="23"/>
  <c r="CT12" i="23"/>
  <c r="CT11" i="23"/>
  <c r="CT10" i="23"/>
  <c r="CT9" i="23"/>
  <c r="CT8" i="23"/>
  <c r="CT7" i="23"/>
  <c r="CT6" i="23"/>
  <c r="CF12" i="23"/>
  <c r="CF11" i="23"/>
  <c r="CF10" i="23"/>
  <c r="CF9" i="23"/>
  <c r="CF8" i="23"/>
  <c r="CF7" i="23"/>
  <c r="CF6" i="23"/>
  <c r="BR12" i="23"/>
  <c r="BR11" i="23"/>
  <c r="BR10" i="23"/>
  <c r="BR9" i="23"/>
  <c r="BR8" i="23"/>
  <c r="BR7" i="23"/>
  <c r="BR6" i="23"/>
  <c r="BD12" i="23"/>
  <c r="BD11" i="23"/>
  <c r="BD10" i="23"/>
  <c r="BD9" i="23"/>
  <c r="BD8" i="23"/>
  <c r="BD7" i="23"/>
  <c r="BD6" i="23"/>
  <c r="AP12" i="23"/>
  <c r="AP11" i="23"/>
  <c r="AP10" i="23"/>
  <c r="AP9" i="23"/>
  <c r="AP8" i="23"/>
  <c r="AP7" i="23"/>
  <c r="AP6" i="23"/>
  <c r="M15" i="31"/>
  <c r="M14" i="31"/>
  <c r="M13" i="31"/>
  <c r="M12" i="31"/>
  <c r="M11" i="31"/>
  <c r="M10" i="31"/>
  <c r="M9" i="31"/>
  <c r="DR6" i="25" l="1"/>
  <c r="X8" i="4" l="1"/>
  <c r="CM9" i="25"/>
  <c r="AH5" i="4" l="1"/>
  <c r="X4" i="20"/>
  <c r="AI5" i="19"/>
  <c r="X4" i="18"/>
  <c r="X4" i="17"/>
  <c r="X4" i="16"/>
  <c r="AT5" i="15"/>
  <c r="V4" i="14"/>
  <c r="AH5" i="13"/>
  <c r="AI5" i="12"/>
  <c r="AI5" i="11"/>
  <c r="AH5" i="10"/>
  <c r="AH5" i="9"/>
  <c r="AI5" i="8"/>
  <c r="AI5" i="31"/>
  <c r="AI5" i="7"/>
  <c r="AI5" i="6"/>
  <c r="AT5" i="5"/>
  <c r="GI12" i="25" l="1"/>
  <c r="GI11" i="25"/>
  <c r="GI10" i="25"/>
  <c r="GI9" i="25"/>
  <c r="GI8" i="25"/>
  <c r="GI7" i="25"/>
  <c r="GI6" i="25"/>
  <c r="FU12" i="25"/>
  <c r="FU11" i="25"/>
  <c r="FU10" i="25"/>
  <c r="FU9" i="25"/>
  <c r="FU8" i="25"/>
  <c r="FU7" i="25"/>
  <c r="FU6" i="25"/>
  <c r="FG12" i="25"/>
  <c r="FG11" i="25"/>
  <c r="FG10" i="25"/>
  <c r="FG9" i="25"/>
  <c r="FG8" i="25"/>
  <c r="FG7" i="25"/>
  <c r="FG6" i="25"/>
  <c r="EE12" i="25"/>
  <c r="EE11" i="25"/>
  <c r="EE10" i="25"/>
  <c r="EE9" i="25"/>
  <c r="EE8" i="25"/>
  <c r="EE7" i="25"/>
  <c r="EE6" i="25"/>
  <c r="DC12" i="25"/>
  <c r="DC11" i="25"/>
  <c r="DC10" i="25"/>
  <c r="DC9" i="25"/>
  <c r="DC8" i="25"/>
  <c r="DC7" i="25"/>
  <c r="DC6" i="25"/>
  <c r="CO12" i="25"/>
  <c r="CO11" i="25"/>
  <c r="CO10" i="25"/>
  <c r="CO9" i="25"/>
  <c r="CO8" i="25"/>
  <c r="CO7" i="25"/>
  <c r="CO6" i="25"/>
  <c r="CA12" i="25"/>
  <c r="CA11" i="25"/>
  <c r="CA10" i="25"/>
  <c r="CA9" i="25"/>
  <c r="CA8" i="25"/>
  <c r="CA7" i="25"/>
  <c r="CA6" i="25"/>
  <c r="BM12" i="25"/>
  <c r="BM11" i="25"/>
  <c r="BM10" i="25"/>
  <c r="BM9" i="25"/>
  <c r="BM8" i="25"/>
  <c r="BM7" i="25"/>
  <c r="BM6" i="25"/>
  <c r="CN12" i="24"/>
  <c r="CN11" i="24"/>
  <c r="CN10" i="24"/>
  <c r="CN9" i="24"/>
  <c r="CN8" i="24"/>
  <c r="CN7" i="24"/>
  <c r="CN6" i="24"/>
  <c r="BZ12" i="24"/>
  <c r="BZ11" i="24"/>
  <c r="BZ10" i="24"/>
  <c r="BZ9" i="24"/>
  <c r="BZ8" i="24"/>
  <c r="BZ7" i="24"/>
  <c r="BZ6" i="24"/>
  <c r="AJ12" i="24"/>
  <c r="AJ11" i="24"/>
  <c r="AJ10" i="24"/>
  <c r="AJ9" i="24"/>
  <c r="AJ8" i="24"/>
  <c r="AJ7" i="24"/>
  <c r="AJ6" i="24"/>
  <c r="V12" i="24"/>
  <c r="V11" i="24"/>
  <c r="V10" i="24"/>
  <c r="V9" i="24"/>
  <c r="V8" i="24"/>
  <c r="V7" i="24"/>
  <c r="V6" i="24"/>
  <c r="H12" i="24"/>
  <c r="H11" i="24"/>
  <c r="H10" i="24"/>
  <c r="H9" i="24"/>
  <c r="H8" i="24"/>
  <c r="H7" i="24"/>
  <c r="H6" i="24"/>
  <c r="DF12" i="23"/>
  <c r="DF11" i="23"/>
  <c r="DF10" i="23"/>
  <c r="DF9" i="23"/>
  <c r="DF8" i="23"/>
  <c r="DF7" i="23"/>
  <c r="DF6" i="23"/>
  <c r="CS12" i="23"/>
  <c r="CS11" i="23"/>
  <c r="CS10" i="23"/>
  <c r="CS9" i="23"/>
  <c r="CS8" i="23"/>
  <c r="CS7" i="23"/>
  <c r="CS6" i="23"/>
  <c r="CE12" i="23"/>
  <c r="CE11" i="23"/>
  <c r="CE10" i="23"/>
  <c r="CE9" i="23"/>
  <c r="CE8" i="23"/>
  <c r="CE7" i="23"/>
  <c r="CE6" i="23"/>
  <c r="BQ12" i="23"/>
  <c r="BQ11" i="23"/>
  <c r="BQ10" i="23"/>
  <c r="BQ9" i="23"/>
  <c r="BQ8" i="23"/>
  <c r="BQ7" i="23"/>
  <c r="BQ6" i="23"/>
  <c r="BC12" i="23"/>
  <c r="BC11" i="23"/>
  <c r="BC10" i="23"/>
  <c r="BC9" i="23"/>
  <c r="BC8" i="23"/>
  <c r="BC7" i="23"/>
  <c r="BC6" i="23"/>
  <c r="AO12" i="23"/>
  <c r="AO11" i="23"/>
  <c r="AO10" i="23"/>
  <c r="AO9" i="23"/>
  <c r="AO8" i="23"/>
  <c r="AO7" i="23"/>
  <c r="AO6" i="23"/>
  <c r="L15" i="31"/>
  <c r="L14" i="31"/>
  <c r="L13" i="31"/>
  <c r="L12" i="31"/>
  <c r="L11" i="31"/>
  <c r="L10" i="31"/>
  <c r="L9" i="31"/>
  <c r="DB9" i="24" l="1"/>
  <c r="DB10" i="24"/>
  <c r="DB6" i="24"/>
  <c r="DB8" i="24"/>
  <c r="DB7" i="24"/>
  <c r="DB11" i="24"/>
  <c r="DB12" i="24"/>
  <c r="K15" i="31"/>
  <c r="K14" i="31"/>
  <c r="K13" i="31"/>
  <c r="K12" i="31"/>
  <c r="K11" i="31"/>
  <c r="K10" i="31"/>
  <c r="K9" i="31"/>
  <c r="J15" i="31"/>
  <c r="J14" i="31"/>
  <c r="J13" i="31"/>
  <c r="J12" i="31"/>
  <c r="J11" i="31"/>
  <c r="J10" i="31"/>
  <c r="J9" i="31"/>
  <c r="I15" i="31"/>
  <c r="I14" i="31"/>
  <c r="I13" i="31"/>
  <c r="I11" i="31"/>
  <c r="I10" i="31"/>
  <c r="I9" i="31"/>
  <c r="I12" i="31"/>
  <c r="AD13" i="23" l="1"/>
  <c r="AC13" i="23"/>
  <c r="AB13" i="23"/>
  <c r="AA13" i="23"/>
  <c r="Z13" i="23"/>
  <c r="X13" i="23"/>
  <c r="W13" i="23"/>
  <c r="V13" i="23"/>
  <c r="AE11" i="23"/>
  <c r="G4" i="30"/>
  <c r="G5" i="30"/>
  <c r="G17" i="30"/>
  <c r="F17" i="30"/>
  <c r="E17" i="30"/>
  <c r="AQ15" i="31"/>
  <c r="AQ14" i="31"/>
  <c r="AQ13" i="31"/>
  <c r="AQ12" i="31"/>
  <c r="AQ11" i="31"/>
  <c r="AQ10" i="31"/>
  <c r="AQ9" i="31"/>
  <c r="H12" i="26"/>
  <c r="G12" i="26"/>
  <c r="H11" i="26"/>
  <c r="G11" i="26"/>
  <c r="H10" i="26"/>
  <c r="G10" i="26"/>
  <c r="H9" i="26"/>
  <c r="G9" i="26"/>
  <c r="H8" i="26"/>
  <c r="G8" i="26"/>
  <c r="H7" i="26"/>
  <c r="G7" i="26"/>
  <c r="H6" i="26"/>
  <c r="G6" i="26"/>
  <c r="AE12" i="23" l="1"/>
  <c r="AE10" i="23"/>
  <c r="AE9" i="23"/>
  <c r="AE8" i="23"/>
  <c r="AE6" i="23"/>
  <c r="AE7" i="23"/>
  <c r="U13" i="23"/>
  <c r="T13" i="23"/>
  <c r="S13" i="23"/>
  <c r="AS14" i="31"/>
  <c r="V14" i="31" s="1"/>
  <c r="AS13" i="31"/>
  <c r="V13" i="31" s="1"/>
  <c r="AS15" i="31"/>
  <c r="V15" i="31" s="1"/>
  <c r="AS9" i="31"/>
  <c r="V9" i="31" s="1"/>
  <c r="AS10" i="31"/>
  <c r="V10" i="31" s="1"/>
  <c r="AS11" i="31"/>
  <c r="V11" i="31" s="1"/>
  <c r="AS12" i="31"/>
  <c r="V12" i="31" s="1"/>
  <c r="AQ16" i="31"/>
  <c r="AQ15" i="7"/>
  <c r="AQ14" i="7"/>
  <c r="AQ13" i="7"/>
  <c r="AQ12" i="7"/>
  <c r="AQ11" i="7"/>
  <c r="AQ10" i="7"/>
  <c r="AQ9" i="7"/>
  <c r="AE13" i="23" l="1"/>
  <c r="V16" i="31"/>
  <c r="AQ16" i="7"/>
  <c r="I12" i="27"/>
  <c r="I11" i="27"/>
  <c r="I10" i="27"/>
  <c r="I9" i="27"/>
  <c r="I8" i="27"/>
  <c r="I7" i="27"/>
  <c r="I6" i="27"/>
  <c r="M12" i="27"/>
  <c r="M11" i="27"/>
  <c r="M10" i="27"/>
  <c r="M9" i="27"/>
  <c r="M8" i="27"/>
  <c r="M7" i="27"/>
  <c r="M6" i="27"/>
  <c r="M13" i="27" l="1"/>
  <c r="M15" i="27" s="1"/>
  <c r="N12" i="26"/>
  <c r="H15" i="20" s="1"/>
  <c r="K12" i="26"/>
  <c r="U15" i="9" s="1"/>
  <c r="J12" i="26"/>
  <c r="AO15" i="12" s="1"/>
  <c r="AR15" i="7"/>
  <c r="F12" i="26"/>
  <c r="H15" i="17" s="1"/>
  <c r="E12" i="26"/>
  <c r="H15" i="18" s="1"/>
  <c r="N11" i="26"/>
  <c r="H14" i="20" s="1"/>
  <c r="K11" i="26"/>
  <c r="U14" i="9" s="1"/>
  <c r="J11" i="26"/>
  <c r="AO14" i="12" s="1"/>
  <c r="AR14" i="7"/>
  <c r="F11" i="26"/>
  <c r="H14" i="17" s="1"/>
  <c r="E11" i="26"/>
  <c r="H14" i="18" s="1"/>
  <c r="N10" i="26"/>
  <c r="H13" i="20" s="1"/>
  <c r="K10" i="26"/>
  <c r="U13" i="9" s="1"/>
  <c r="J10" i="26"/>
  <c r="AO13" i="12" s="1"/>
  <c r="AR13" i="7"/>
  <c r="F10" i="26"/>
  <c r="H13" i="17" s="1"/>
  <c r="E10" i="26"/>
  <c r="H13" i="18" s="1"/>
  <c r="N9" i="26"/>
  <c r="H12" i="20" s="1"/>
  <c r="N6" i="26"/>
  <c r="H9" i="20" s="1"/>
  <c r="M6" i="26"/>
  <c r="AS9" i="7" s="1"/>
  <c r="L6" i="26"/>
  <c r="H9" i="16" s="1"/>
  <c r="K6" i="26"/>
  <c r="U9" i="9" s="1"/>
  <c r="J6" i="26"/>
  <c r="AO9" i="12" s="1"/>
  <c r="AR9" i="7"/>
  <c r="F6" i="26"/>
  <c r="H9" i="17" s="1"/>
  <c r="E6" i="26"/>
  <c r="H9" i="18" s="1"/>
  <c r="K9" i="26"/>
  <c r="U12" i="9" s="1"/>
  <c r="J9" i="26"/>
  <c r="AO12" i="12" s="1"/>
  <c r="AR12" i="7"/>
  <c r="F9" i="26"/>
  <c r="H12" i="17" s="1"/>
  <c r="E9" i="26"/>
  <c r="H12" i="18" s="1"/>
  <c r="AT9" i="7" l="1"/>
  <c r="V9" i="7" s="1"/>
  <c r="M7" i="26"/>
  <c r="AS10" i="7" s="1"/>
  <c r="L7" i="26"/>
  <c r="H10" i="16" s="1"/>
  <c r="M12" i="26" l="1"/>
  <c r="AS15" i="7" s="1"/>
  <c r="L12" i="26"/>
  <c r="H15" i="16" s="1"/>
  <c r="M11" i="26"/>
  <c r="AS14" i="7" s="1"/>
  <c r="L11" i="26"/>
  <c r="H14" i="16" s="1"/>
  <c r="M10" i="26"/>
  <c r="AS13" i="7" s="1"/>
  <c r="L10" i="26"/>
  <c r="H13" i="16" s="1"/>
  <c r="M9" i="26"/>
  <c r="AS12" i="7" s="1"/>
  <c r="L9" i="26"/>
  <c r="H12" i="16" s="1"/>
  <c r="M8" i="26"/>
  <c r="AS11" i="7" s="1"/>
  <c r="L8" i="26"/>
  <c r="H11" i="16" s="1"/>
  <c r="N8" i="26"/>
  <c r="H11" i="20" s="1"/>
  <c r="K8" i="26"/>
  <c r="U11" i="9" s="1"/>
  <c r="J8" i="26"/>
  <c r="AO11" i="12" s="1"/>
  <c r="AR11" i="7"/>
  <c r="F8" i="26"/>
  <c r="H11" i="17" s="1"/>
  <c r="E8" i="26"/>
  <c r="H11" i="18" s="1"/>
  <c r="N7" i="26"/>
  <c r="H10" i="20" s="1"/>
  <c r="K7" i="26"/>
  <c r="U10" i="9" s="1"/>
  <c r="J7" i="26"/>
  <c r="AO10" i="12" s="1"/>
  <c r="AR10" i="7"/>
  <c r="F7" i="26"/>
  <c r="H10" i="17" s="1"/>
  <c r="E7" i="26"/>
  <c r="H10" i="18" s="1"/>
  <c r="AT13" i="7" l="1"/>
  <c r="V13" i="7" s="1"/>
  <c r="AT11" i="7"/>
  <c r="V11" i="7" s="1"/>
  <c r="AT12" i="7"/>
  <c r="V12" i="7" s="1"/>
  <c r="AT10" i="7"/>
  <c r="V10" i="7" s="1"/>
  <c r="AT14" i="7"/>
  <c r="V14" i="7" s="1"/>
  <c r="AT15" i="7"/>
  <c r="V15" i="7" s="1"/>
  <c r="M8" i="20"/>
  <c r="M12" i="20" s="1"/>
  <c r="X8" i="19"/>
  <c r="X9" i="19" s="1"/>
  <c r="M8" i="18"/>
  <c r="M14" i="18" s="1"/>
  <c r="M8" i="17"/>
  <c r="M14" i="17" s="1"/>
  <c r="M8" i="16"/>
  <c r="M9" i="16" s="1"/>
  <c r="AI8" i="15"/>
  <c r="AI9" i="15" s="1"/>
  <c r="W10" i="13"/>
  <c r="W11" i="13"/>
  <c r="W8" i="13"/>
  <c r="W12" i="13" s="1"/>
  <c r="X8" i="12"/>
  <c r="X14" i="12" s="1"/>
  <c r="X8" i="11"/>
  <c r="X9" i="11" s="1"/>
  <c r="W10" i="10"/>
  <c r="W11" i="10"/>
  <c r="W12" i="10"/>
  <c r="W13" i="10"/>
  <c r="W14" i="10"/>
  <c r="W15" i="10"/>
  <c r="W16" i="10"/>
  <c r="W8" i="10"/>
  <c r="W9" i="10" s="1"/>
  <c r="W8" i="9"/>
  <c r="W10" i="9" s="1"/>
  <c r="X8" i="8"/>
  <c r="X16" i="8" s="1"/>
  <c r="X8" i="31"/>
  <c r="X10" i="31" s="1"/>
  <c r="AB10" i="31" s="1"/>
  <c r="X8" i="7"/>
  <c r="X10" i="7" s="1"/>
  <c r="T15" i="31"/>
  <c r="S15" i="31"/>
  <c r="T14" i="31"/>
  <c r="S14" i="31"/>
  <c r="T13" i="31"/>
  <c r="S13" i="31"/>
  <c r="T12" i="31"/>
  <c r="S12" i="31"/>
  <c r="T11" i="31"/>
  <c r="S11" i="31"/>
  <c r="T10" i="31"/>
  <c r="S10" i="31"/>
  <c r="T9" i="31"/>
  <c r="S9" i="31"/>
  <c r="Y8" i="31"/>
  <c r="X6" i="31"/>
  <c r="X2" i="31"/>
  <c r="AI8" i="5"/>
  <c r="W8" i="4"/>
  <c r="W12" i="4" s="1"/>
  <c r="AJ9" i="5"/>
  <c r="Y8" i="6"/>
  <c r="Y13" i="6" s="1"/>
  <c r="N8" i="20"/>
  <c r="Y8" i="19"/>
  <c r="N8" i="16"/>
  <c r="X8" i="13"/>
  <c r="Y8" i="12"/>
  <c r="Y8" i="11"/>
  <c r="X8" i="10"/>
  <c r="X8" i="9"/>
  <c r="X9" i="9" s="1"/>
  <c r="X10" i="9" s="1"/>
  <c r="X11" i="9" s="1"/>
  <c r="X12" i="9" s="1"/>
  <c r="X13" i="9" s="1"/>
  <c r="X14" i="9" s="1"/>
  <c r="X15" i="9" s="1"/>
  <c r="X16" i="9" s="1"/>
  <c r="Y8" i="8"/>
  <c r="Y8" i="7"/>
  <c r="P64" i="28"/>
  <c r="X11" i="11"/>
  <c r="X12" i="11"/>
  <c r="X13" i="11"/>
  <c r="X14" i="11"/>
  <c r="X15" i="11"/>
  <c r="X16" i="11"/>
  <c r="U9" i="31" l="1"/>
  <c r="X10" i="13"/>
  <c r="X12" i="13"/>
  <c r="Y10" i="8"/>
  <c r="Y14" i="8"/>
  <c r="Y15" i="8"/>
  <c r="Y9" i="8"/>
  <c r="Y11" i="8"/>
  <c r="Y16" i="8"/>
  <c r="Y12" i="8"/>
  <c r="Y13" i="8"/>
  <c r="N9" i="16"/>
  <c r="Y9" i="19"/>
  <c r="Y16" i="19"/>
  <c r="Y10" i="19"/>
  <c r="Y15" i="19"/>
  <c r="Y11" i="19"/>
  <c r="Y12" i="19"/>
  <c r="Y13" i="19"/>
  <c r="Y14" i="19"/>
  <c r="X11" i="13"/>
  <c r="O16" i="31"/>
  <c r="N14" i="17"/>
  <c r="N12" i="20"/>
  <c r="M11" i="20"/>
  <c r="N11" i="20" s="1"/>
  <c r="N14" i="18"/>
  <c r="M10" i="20"/>
  <c r="N10" i="20" s="1"/>
  <c r="W9" i="13"/>
  <c r="X9" i="13" s="1"/>
  <c r="W16" i="13"/>
  <c r="X16" i="13" s="1"/>
  <c r="X12" i="8"/>
  <c r="X10" i="8"/>
  <c r="W15" i="13"/>
  <c r="X15" i="13" s="1"/>
  <c r="X11" i="8"/>
  <c r="W14" i="13"/>
  <c r="X14" i="13" s="1"/>
  <c r="X15" i="8"/>
  <c r="X13" i="8"/>
  <c r="X10" i="11"/>
  <c r="Y10" i="11" s="1"/>
  <c r="W13" i="13"/>
  <c r="X13" i="13" s="1"/>
  <c r="X14" i="8"/>
  <c r="X10" i="19"/>
  <c r="M9" i="17"/>
  <c r="N9" i="17" s="1"/>
  <c r="M16" i="17"/>
  <c r="N16" i="17" s="1"/>
  <c r="M15" i="17"/>
  <c r="N15" i="17" s="1"/>
  <c r="W16" i="9"/>
  <c r="M12" i="17"/>
  <c r="N12" i="17" s="1"/>
  <c r="M11" i="17"/>
  <c r="N11" i="17" s="1"/>
  <c r="W14" i="9"/>
  <c r="X13" i="12"/>
  <c r="Y13" i="12" s="1"/>
  <c r="M10" i="17"/>
  <c r="N10" i="17" s="1"/>
  <c r="M9" i="20"/>
  <c r="N9" i="20" s="1"/>
  <c r="W13" i="9"/>
  <c r="X12" i="12"/>
  <c r="Y12" i="12" s="1"/>
  <c r="M16" i="20"/>
  <c r="N16" i="20" s="1"/>
  <c r="M13" i="17"/>
  <c r="N13" i="17" s="1"/>
  <c r="W12" i="9"/>
  <c r="X11" i="12"/>
  <c r="Y11" i="12" s="1"/>
  <c r="M15" i="20"/>
  <c r="N15" i="20" s="1"/>
  <c r="W9" i="9"/>
  <c r="W15" i="9"/>
  <c r="W11" i="9"/>
  <c r="X10" i="12"/>
  <c r="Y10" i="12" s="1"/>
  <c r="M14" i="20"/>
  <c r="N14" i="20" s="1"/>
  <c r="X9" i="8"/>
  <c r="X17" i="12"/>
  <c r="Y17" i="12" s="1"/>
  <c r="M13" i="20"/>
  <c r="N13" i="20" s="1"/>
  <c r="Y14" i="12"/>
  <c r="M16" i="18"/>
  <c r="N16" i="18" s="1"/>
  <c r="M13" i="18"/>
  <c r="N13" i="18" s="1"/>
  <c r="M9" i="18"/>
  <c r="N9" i="18" s="1"/>
  <c r="M12" i="18"/>
  <c r="N12" i="18" s="1"/>
  <c r="M11" i="18"/>
  <c r="N11" i="18" s="1"/>
  <c r="M10" i="18"/>
  <c r="N10" i="18" s="1"/>
  <c r="M15" i="18"/>
  <c r="N15" i="18" s="1"/>
  <c r="AJ9" i="15"/>
  <c r="AI10" i="15"/>
  <c r="X9" i="12"/>
  <c r="Y9" i="12" s="1"/>
  <c r="X15" i="12"/>
  <c r="Y15" i="12" s="1"/>
  <c r="L16" i="31"/>
  <c r="N16" i="31"/>
  <c r="R16" i="31"/>
  <c r="Q16" i="31"/>
  <c r="X9" i="31"/>
  <c r="AB9" i="31" s="1"/>
  <c r="X16" i="31"/>
  <c r="AB16" i="31" s="1"/>
  <c r="E10" i="30" s="1"/>
  <c r="X15" i="31"/>
  <c r="AB15" i="31" s="1"/>
  <c r="S16" i="31"/>
  <c r="X14" i="31"/>
  <c r="AB14" i="31" s="1"/>
  <c r="T16" i="31"/>
  <c r="X13" i="31"/>
  <c r="AB13" i="31" s="1"/>
  <c r="M16" i="31"/>
  <c r="X12" i="31"/>
  <c r="AB12" i="31" s="1"/>
  <c r="P16" i="31"/>
  <c r="X11" i="31"/>
  <c r="AB11" i="31" s="1"/>
  <c r="AT16" i="7"/>
  <c r="V16" i="7" s="1"/>
  <c r="AR16" i="31"/>
  <c r="AS16" i="31"/>
  <c r="X9" i="7"/>
  <c r="Y9" i="7" s="1"/>
  <c r="X14" i="7"/>
  <c r="Y14" i="7" s="1"/>
  <c r="X16" i="7"/>
  <c r="Y16" i="7" s="1"/>
  <c r="X15" i="7"/>
  <c r="Y15" i="7" s="1"/>
  <c r="X13" i="7"/>
  <c r="Y13" i="7" s="1"/>
  <c r="X12" i="7"/>
  <c r="Y12" i="7" s="1"/>
  <c r="X11" i="7"/>
  <c r="Y11" i="7" s="1"/>
  <c r="Y10" i="7"/>
  <c r="M10" i="16"/>
  <c r="N10" i="16" s="1"/>
  <c r="X10" i="10"/>
  <c r="AJ16" i="5"/>
  <c r="AJ15" i="5"/>
  <c r="AJ14" i="5"/>
  <c r="AJ13" i="5"/>
  <c r="X12" i="4"/>
  <c r="AJ12" i="5"/>
  <c r="AJ11" i="5"/>
  <c r="Y12" i="6"/>
  <c r="Y11" i="6"/>
  <c r="Y10" i="6"/>
  <c r="W10" i="4"/>
  <c r="X10" i="4" s="1"/>
  <c r="W9" i="4"/>
  <c r="X9" i="4" s="1"/>
  <c r="AJ10" i="5"/>
  <c r="W16" i="4"/>
  <c r="Y9" i="6"/>
  <c r="W15" i="4"/>
  <c r="X15" i="4" s="1"/>
  <c r="Y16" i="6"/>
  <c r="W14" i="4"/>
  <c r="X14" i="4" s="1"/>
  <c r="Y15" i="6"/>
  <c r="W11" i="4"/>
  <c r="X11" i="4" s="1"/>
  <c r="Y14" i="6"/>
  <c r="W13" i="4"/>
  <c r="X13" i="4" s="1"/>
  <c r="Y9" i="31"/>
  <c r="Y16" i="31"/>
  <c r="Y10" i="31"/>
  <c r="Y15" i="11"/>
  <c r="Y14" i="11"/>
  <c r="Y12" i="11"/>
  <c r="Y9" i="11"/>
  <c r="Y16" i="11"/>
  <c r="Y13" i="11"/>
  <c r="Y11" i="11"/>
  <c r="X9" i="10"/>
  <c r="X16" i="10"/>
  <c r="X14" i="10"/>
  <c r="X12" i="10"/>
  <c r="X15" i="10"/>
  <c r="X11" i="10"/>
  <c r="X13" i="10"/>
  <c r="K6" i="2"/>
  <c r="K6" i="3"/>
  <c r="M6" i="20"/>
  <c r="X6" i="19"/>
  <c r="M6" i="18"/>
  <c r="M6" i="17"/>
  <c r="M6" i="16"/>
  <c r="AI6" i="15"/>
  <c r="K6" i="14"/>
  <c r="W6" i="13"/>
  <c r="X6" i="12"/>
  <c r="X6" i="11"/>
  <c r="W6" i="10"/>
  <c r="W6" i="9"/>
  <c r="X6" i="8"/>
  <c r="X6" i="7"/>
  <c r="X6" i="6"/>
  <c r="AI6" i="5"/>
  <c r="W6" i="4"/>
  <c r="AR12" i="27"/>
  <c r="AP12" i="27"/>
  <c r="AR11" i="27"/>
  <c r="AP11" i="27"/>
  <c r="AP10" i="27"/>
  <c r="AR10" i="27"/>
  <c r="AR9" i="27"/>
  <c r="AP9" i="27"/>
  <c r="AR8" i="27"/>
  <c r="AP8" i="27"/>
  <c r="AP7" i="27"/>
  <c r="AR7" i="27"/>
  <c r="AR6" i="27"/>
  <c r="AP6" i="27"/>
  <c r="AG12" i="27"/>
  <c r="AM12" i="27" s="1"/>
  <c r="AF12" i="27"/>
  <c r="AL12" i="27" s="1"/>
  <c r="AE12" i="27"/>
  <c r="AK12" i="27" s="1"/>
  <c r="AD12" i="27"/>
  <c r="AJ12" i="27" s="1"/>
  <c r="AG11" i="27"/>
  <c r="AM11" i="27" s="1"/>
  <c r="AF11" i="27"/>
  <c r="AL11" i="27" s="1"/>
  <c r="AE11" i="27"/>
  <c r="AK11" i="27" s="1"/>
  <c r="AD11" i="27"/>
  <c r="AJ11" i="27" s="1"/>
  <c r="AG10" i="27"/>
  <c r="AM10" i="27" s="1"/>
  <c r="AF10" i="27"/>
  <c r="AL10" i="27" s="1"/>
  <c r="AE10" i="27"/>
  <c r="AK10" i="27" s="1"/>
  <c r="AD10" i="27"/>
  <c r="AJ10" i="27" s="1"/>
  <c r="AG9" i="27"/>
  <c r="AM9" i="27" s="1"/>
  <c r="AF9" i="27"/>
  <c r="AL9" i="27" s="1"/>
  <c r="AE9" i="27"/>
  <c r="AK9" i="27" s="1"/>
  <c r="AD9" i="27"/>
  <c r="AJ9" i="27" s="1"/>
  <c r="AG8" i="27"/>
  <c r="AM8" i="27" s="1"/>
  <c r="AF8" i="27"/>
  <c r="AL8" i="27" s="1"/>
  <c r="AE8" i="27"/>
  <c r="AK8" i="27" s="1"/>
  <c r="AD8" i="27"/>
  <c r="AJ8" i="27" s="1"/>
  <c r="AG7" i="27"/>
  <c r="AM7" i="27" s="1"/>
  <c r="AF7" i="27"/>
  <c r="AL7" i="27" s="1"/>
  <c r="AE7" i="27"/>
  <c r="AK7" i="27" s="1"/>
  <c r="AD7" i="27"/>
  <c r="AJ7" i="27" s="1"/>
  <c r="AG6" i="27"/>
  <c r="AM6" i="27" s="1"/>
  <c r="AF6" i="27"/>
  <c r="AE6" i="27"/>
  <c r="AD6" i="27"/>
  <c r="W12" i="27"/>
  <c r="W11" i="27"/>
  <c r="W10" i="27"/>
  <c r="W9" i="27"/>
  <c r="W8" i="27"/>
  <c r="W7" i="27"/>
  <c r="W6" i="27"/>
  <c r="Y7" i="27"/>
  <c r="Y8" i="27"/>
  <c r="Y9" i="27"/>
  <c r="Y10" i="27"/>
  <c r="Y11" i="27"/>
  <c r="Y12" i="27"/>
  <c r="Y6" i="27"/>
  <c r="T12" i="27"/>
  <c r="AB12" i="27" s="1"/>
  <c r="T11" i="27"/>
  <c r="AB11" i="27" s="1"/>
  <c r="T10" i="27"/>
  <c r="AB10" i="27" s="1"/>
  <c r="T9" i="27"/>
  <c r="AB9" i="27" s="1"/>
  <c r="T8" i="27"/>
  <c r="T7" i="27"/>
  <c r="AB7" i="27" s="1"/>
  <c r="T6" i="27"/>
  <c r="AB6" i="27" s="1"/>
  <c r="S12" i="27"/>
  <c r="S11" i="27"/>
  <c r="S10" i="27"/>
  <c r="S9" i="27"/>
  <c r="S8" i="27"/>
  <c r="S7" i="27"/>
  <c r="S6" i="27"/>
  <c r="Q12" i="27"/>
  <c r="Q11" i="27"/>
  <c r="Q10" i="27"/>
  <c r="Q9" i="27"/>
  <c r="Q8" i="27"/>
  <c r="Q7" i="27"/>
  <c r="AE12" i="31"/>
  <c r="Q6" i="27"/>
  <c r="GH12" i="25"/>
  <c r="GH11" i="25"/>
  <c r="GH10" i="25"/>
  <c r="GH9" i="25"/>
  <c r="GH8" i="25"/>
  <c r="GH7" i="25"/>
  <c r="GH6" i="25"/>
  <c r="GG12" i="25"/>
  <c r="GG11" i="25"/>
  <c r="GG10" i="25"/>
  <c r="GG9" i="25"/>
  <c r="GG8" i="25"/>
  <c r="GG7" i="25"/>
  <c r="GG6" i="25"/>
  <c r="FS12" i="25"/>
  <c r="FS11" i="25"/>
  <c r="FS10" i="25"/>
  <c r="FS9" i="25"/>
  <c r="FS8" i="25"/>
  <c r="FS7" i="25"/>
  <c r="FS6" i="25"/>
  <c r="FE12" i="25"/>
  <c r="FE11" i="25"/>
  <c r="FE10" i="25"/>
  <c r="FE9" i="25"/>
  <c r="FE8" i="25"/>
  <c r="FE7" i="25"/>
  <c r="FE6" i="25"/>
  <c r="EC12" i="25"/>
  <c r="EC11" i="25"/>
  <c r="EC10" i="25"/>
  <c r="EC9" i="25"/>
  <c r="EC8" i="25"/>
  <c r="EC7" i="25"/>
  <c r="EC6" i="25"/>
  <c r="FT12" i="25"/>
  <c r="FT11" i="25"/>
  <c r="FT10" i="25"/>
  <c r="FT9" i="25"/>
  <c r="FT8" i="25"/>
  <c r="FT7" i="25"/>
  <c r="FT6" i="25"/>
  <c r="FF12" i="25"/>
  <c r="FF11" i="25"/>
  <c r="FF10" i="25"/>
  <c r="FF9" i="25"/>
  <c r="FF8" i="25"/>
  <c r="FF7" i="25"/>
  <c r="FF6" i="25"/>
  <c r="ED12" i="25"/>
  <c r="ED11" i="25"/>
  <c r="ED10" i="25"/>
  <c r="ED9" i="25"/>
  <c r="ED8" i="25"/>
  <c r="ED7" i="25"/>
  <c r="ED6" i="25"/>
  <c r="DB12" i="25"/>
  <c r="DB11" i="25"/>
  <c r="DB10" i="25"/>
  <c r="DB9" i="25"/>
  <c r="DB8" i="25"/>
  <c r="DB7" i="25"/>
  <c r="DB6" i="25"/>
  <c r="CN12" i="25"/>
  <c r="CN11" i="25"/>
  <c r="CN10" i="25"/>
  <c r="CN9" i="25"/>
  <c r="CN8" i="25"/>
  <c r="CN7" i="25"/>
  <c r="CN6" i="25"/>
  <c r="DA12" i="25"/>
  <c r="DA11" i="25"/>
  <c r="DA10" i="25"/>
  <c r="DA9" i="25"/>
  <c r="DA8" i="25"/>
  <c r="DA7" i="25"/>
  <c r="DA6" i="25"/>
  <c r="CM12" i="25"/>
  <c r="CM11" i="25"/>
  <c r="CM10" i="25"/>
  <c r="CM8" i="25"/>
  <c r="CM7" i="25"/>
  <c r="CM6" i="25"/>
  <c r="BY12" i="25"/>
  <c r="BY11" i="25"/>
  <c r="BY10" i="25"/>
  <c r="BY9" i="25"/>
  <c r="BY8" i="25"/>
  <c r="BY7" i="25"/>
  <c r="BY6" i="25"/>
  <c r="BZ12" i="25"/>
  <c r="BZ11" i="25"/>
  <c r="BZ10" i="25"/>
  <c r="BZ9" i="25"/>
  <c r="BZ8" i="25"/>
  <c r="BZ7" i="25"/>
  <c r="BZ6" i="25"/>
  <c r="BL12" i="25"/>
  <c r="BL11" i="25"/>
  <c r="BL10" i="25"/>
  <c r="BL9" i="25"/>
  <c r="BL8" i="25"/>
  <c r="BL7" i="25"/>
  <c r="BL6" i="25"/>
  <c r="BK12" i="25"/>
  <c r="BK11" i="25"/>
  <c r="BK10" i="25"/>
  <c r="BK9" i="25"/>
  <c r="BK8" i="25"/>
  <c r="BK7" i="25"/>
  <c r="GF12" i="25"/>
  <c r="FR12" i="25"/>
  <c r="FD12" i="25"/>
  <c r="EB12" i="25"/>
  <c r="CZ12" i="25"/>
  <c r="CL12" i="25"/>
  <c r="BX12" i="25"/>
  <c r="BJ12" i="25"/>
  <c r="GF11" i="25"/>
  <c r="FR11" i="25"/>
  <c r="FD11" i="25"/>
  <c r="EB11" i="25"/>
  <c r="CZ11" i="25"/>
  <c r="CL11" i="25"/>
  <c r="BX11" i="25"/>
  <c r="BJ11" i="25"/>
  <c r="GF10" i="25"/>
  <c r="FR10" i="25"/>
  <c r="FD10" i="25"/>
  <c r="EB10" i="25"/>
  <c r="CZ10" i="25"/>
  <c r="CL10" i="25"/>
  <c r="BX10" i="25"/>
  <c r="BJ10" i="25"/>
  <c r="GF9" i="25"/>
  <c r="FR9" i="25"/>
  <c r="FD9" i="25"/>
  <c r="EB9" i="25"/>
  <c r="CZ9" i="25"/>
  <c r="CL9" i="25"/>
  <c r="BX9" i="25"/>
  <c r="BJ9" i="25"/>
  <c r="GF8" i="25"/>
  <c r="FR8" i="25"/>
  <c r="FD8" i="25"/>
  <c r="EB8" i="25"/>
  <c r="CZ8" i="25"/>
  <c r="CL8" i="25"/>
  <c r="BX8" i="25"/>
  <c r="BJ8" i="25"/>
  <c r="GF7" i="25"/>
  <c r="FR7" i="25"/>
  <c r="FD7" i="25"/>
  <c r="EB7" i="25"/>
  <c r="CZ7" i="25"/>
  <c r="CL7" i="25"/>
  <c r="BX7" i="25"/>
  <c r="BJ7" i="25"/>
  <c r="GF6" i="25"/>
  <c r="FR6" i="25"/>
  <c r="FD6" i="25"/>
  <c r="EB6" i="25"/>
  <c r="Y14" i="31" l="1"/>
  <c r="X16" i="4"/>
  <c r="AA16" i="4"/>
  <c r="E6" i="30" s="1"/>
  <c r="Y15" i="31"/>
  <c r="X11" i="19"/>
  <c r="X12" i="19" s="1"/>
  <c r="X13" i="19" s="1"/>
  <c r="X14" i="19" s="1"/>
  <c r="X15" i="19" s="1"/>
  <c r="X16" i="19" s="1"/>
  <c r="AI11" i="15"/>
  <c r="AJ10" i="15"/>
  <c r="AF12" i="31"/>
  <c r="Y12" i="31"/>
  <c r="Y13" i="31"/>
  <c r="Y11" i="31"/>
  <c r="AE13" i="27"/>
  <c r="AM13" i="27"/>
  <c r="AR13" i="27"/>
  <c r="AD13" i="27"/>
  <c r="S13" i="27"/>
  <c r="AF13" i="27"/>
  <c r="AG13" i="27"/>
  <c r="AP13" i="27"/>
  <c r="T13" i="27"/>
  <c r="W13" i="27"/>
  <c r="AJ6" i="27"/>
  <c r="AJ13" i="27" s="1"/>
  <c r="AL6" i="27"/>
  <c r="AL13" i="27" s="1"/>
  <c r="AE13" i="31"/>
  <c r="AF13" i="31" s="1"/>
  <c r="AE15" i="31"/>
  <c r="AF15" i="31" s="1"/>
  <c r="AE11" i="31"/>
  <c r="AF11" i="31" s="1"/>
  <c r="AK6" i="27"/>
  <c r="AK13" i="27" s="1"/>
  <c r="AE10" i="31"/>
  <c r="AF10" i="31" s="1"/>
  <c r="I13" i="27"/>
  <c r="AB8" i="27"/>
  <c r="AB13" i="27" s="1"/>
  <c r="M11" i="16"/>
  <c r="AE16" i="31"/>
  <c r="AF16" i="31" s="1"/>
  <c r="AE9" i="31"/>
  <c r="AF9" i="31" s="1"/>
  <c r="Q13" i="27"/>
  <c r="CZ6" i="25"/>
  <c r="CL6" i="25"/>
  <c r="BX6" i="25"/>
  <c r="BJ6" i="25"/>
  <c r="M12" i="16" l="1"/>
  <c r="N11" i="16"/>
  <c r="AI12" i="15"/>
  <c r="AJ11" i="15"/>
  <c r="AH9" i="31"/>
  <c r="AI9" i="31" s="1"/>
  <c r="AH10" i="31"/>
  <c r="AI10" i="31" s="1"/>
  <c r="AH11" i="31"/>
  <c r="AI11" i="31" s="1"/>
  <c r="AH16" i="31"/>
  <c r="AI16" i="31" s="1"/>
  <c r="AH15" i="31"/>
  <c r="AI15" i="31" s="1"/>
  <c r="AH13" i="31"/>
  <c r="AI13" i="31" s="1"/>
  <c r="AH12" i="31"/>
  <c r="AI12" i="31" s="1"/>
  <c r="AE14" i="31"/>
  <c r="AF14" i="31" s="1"/>
  <c r="DN12" i="25"/>
  <c r="DO12" i="25"/>
  <c r="DP12" i="25"/>
  <c r="DQ12" i="25"/>
  <c r="DR12" i="25"/>
  <c r="DS12" i="25"/>
  <c r="DV12" i="25"/>
  <c r="DW12" i="25"/>
  <c r="DX12" i="25"/>
  <c r="DN11" i="25"/>
  <c r="DO11" i="25"/>
  <c r="DP11" i="25"/>
  <c r="DQ11" i="25"/>
  <c r="DR11" i="25"/>
  <c r="DS11" i="25"/>
  <c r="DV11" i="25"/>
  <c r="DW11" i="25"/>
  <c r="DX11" i="25"/>
  <c r="DM10" i="25"/>
  <c r="DN10" i="25"/>
  <c r="DO10" i="25"/>
  <c r="DP10" i="25"/>
  <c r="DQ10" i="25"/>
  <c r="DR10" i="25"/>
  <c r="DS10" i="25"/>
  <c r="DV10" i="25"/>
  <c r="DW10" i="25"/>
  <c r="DX10" i="25"/>
  <c r="DN9" i="25"/>
  <c r="DO9" i="25"/>
  <c r="DP9" i="25"/>
  <c r="DQ9" i="25"/>
  <c r="DR9" i="25"/>
  <c r="DS9" i="25"/>
  <c r="DV9" i="25"/>
  <c r="DW9" i="25"/>
  <c r="DX9" i="25"/>
  <c r="DN8" i="25"/>
  <c r="DO8" i="25"/>
  <c r="DP8" i="25"/>
  <c r="DQ8" i="25"/>
  <c r="DR8" i="25"/>
  <c r="DS8" i="25"/>
  <c r="DV8" i="25"/>
  <c r="DW8" i="25"/>
  <c r="DX8" i="25"/>
  <c r="DN7" i="25"/>
  <c r="DO7" i="25"/>
  <c r="DP7" i="25"/>
  <c r="DQ7" i="25"/>
  <c r="DR7" i="25"/>
  <c r="DS7" i="25"/>
  <c r="DV7" i="25"/>
  <c r="DW7" i="25"/>
  <c r="DX7" i="25"/>
  <c r="DN6" i="25"/>
  <c r="DO6" i="25"/>
  <c r="DP6" i="25"/>
  <c r="DQ6" i="25"/>
  <c r="DS6" i="25"/>
  <c r="DE12" i="23"/>
  <c r="DD12" i="23"/>
  <c r="DC12" i="23"/>
  <c r="CR12" i="23"/>
  <c r="CQ12" i="23"/>
  <c r="CP12" i="23"/>
  <c r="CD12" i="23"/>
  <c r="CC12" i="23"/>
  <c r="CB12" i="23"/>
  <c r="BP12" i="23"/>
  <c r="BO12" i="23"/>
  <c r="BN12" i="23"/>
  <c r="BB12" i="23"/>
  <c r="BA12" i="23"/>
  <c r="AZ12" i="23"/>
  <c r="AN12" i="23"/>
  <c r="AM12" i="23"/>
  <c r="AL12" i="23"/>
  <c r="BO11" i="23"/>
  <c r="BN11" i="23"/>
  <c r="BB11" i="23"/>
  <c r="BA11" i="23"/>
  <c r="AZ11" i="23"/>
  <c r="AN11" i="23"/>
  <c r="AM11" i="23"/>
  <c r="AL11" i="23"/>
  <c r="U14" i="31"/>
  <c r="DE11" i="23"/>
  <c r="DD11" i="23"/>
  <c r="DC11" i="23"/>
  <c r="CR11" i="23"/>
  <c r="CQ11" i="23"/>
  <c r="CP11" i="23"/>
  <c r="CD11" i="23"/>
  <c r="CC11" i="23"/>
  <c r="CB11" i="23"/>
  <c r="BP11" i="23"/>
  <c r="DE10" i="23"/>
  <c r="DD10" i="23"/>
  <c r="DC10" i="23"/>
  <c r="CR10" i="23"/>
  <c r="CQ10" i="23"/>
  <c r="CP10" i="23"/>
  <c r="CD10" i="23"/>
  <c r="CC10" i="23"/>
  <c r="CB10" i="23"/>
  <c r="BP10" i="23"/>
  <c r="BO10" i="23"/>
  <c r="BN10" i="23"/>
  <c r="BB10" i="23"/>
  <c r="BA10" i="23"/>
  <c r="AZ10" i="23"/>
  <c r="AN10" i="23"/>
  <c r="AM10" i="23"/>
  <c r="AL10" i="23"/>
  <c r="DE9" i="23"/>
  <c r="DD9" i="23"/>
  <c r="DC9" i="23"/>
  <c r="CR9" i="23"/>
  <c r="CQ9" i="23"/>
  <c r="CP9" i="23"/>
  <c r="CD9" i="23"/>
  <c r="CC9" i="23"/>
  <c r="CB9" i="23"/>
  <c r="BP9" i="23"/>
  <c r="BO9" i="23"/>
  <c r="BN9" i="23"/>
  <c r="BB9" i="23"/>
  <c r="BA9" i="23"/>
  <c r="AZ9" i="23"/>
  <c r="AN9" i="23"/>
  <c r="AM9" i="23"/>
  <c r="AL9" i="23"/>
  <c r="DE8" i="23"/>
  <c r="DD8" i="23"/>
  <c r="DC8" i="23"/>
  <c r="CR8" i="23"/>
  <c r="CQ8" i="23"/>
  <c r="CP8" i="23"/>
  <c r="CD8" i="23"/>
  <c r="CC8" i="23"/>
  <c r="CB8" i="23"/>
  <c r="BP8" i="23"/>
  <c r="BO8" i="23"/>
  <c r="BB8" i="23"/>
  <c r="BA8" i="23"/>
  <c r="AN8" i="23"/>
  <c r="AM8" i="23"/>
  <c r="AL8" i="23"/>
  <c r="DE7" i="23"/>
  <c r="DD7" i="23"/>
  <c r="DC7" i="23"/>
  <c r="CR7" i="23"/>
  <c r="CQ7" i="23"/>
  <c r="CP7" i="23"/>
  <c r="CD7" i="23"/>
  <c r="CC7" i="23"/>
  <c r="CB7" i="23"/>
  <c r="BP7" i="23"/>
  <c r="BO7" i="23"/>
  <c r="BN7" i="23"/>
  <c r="BB7" i="23"/>
  <c r="BA7" i="23"/>
  <c r="AZ7" i="23"/>
  <c r="AN7" i="23"/>
  <c r="AM7" i="23"/>
  <c r="AL7" i="23"/>
  <c r="DE6" i="23"/>
  <c r="CR6" i="23"/>
  <c r="CD6" i="23"/>
  <c r="DD6" i="23"/>
  <c r="CQ6" i="23"/>
  <c r="CC6" i="23"/>
  <c r="BO6" i="23"/>
  <c r="BA6" i="23"/>
  <c r="AM6" i="23"/>
  <c r="BP6" i="23"/>
  <c r="BB6" i="23"/>
  <c r="AN6" i="23"/>
  <c r="DC6" i="23"/>
  <c r="CB6" i="23"/>
  <c r="M13" i="16" l="1"/>
  <c r="N12" i="16"/>
  <c r="AI13" i="15"/>
  <c r="AJ12" i="15"/>
  <c r="U11" i="31"/>
  <c r="AJ11" i="31" s="1"/>
  <c r="AL11" i="31" s="1"/>
  <c r="U13" i="31"/>
  <c r="AG13" i="31" s="1"/>
  <c r="AC13" i="31" s="1"/>
  <c r="AD13" i="31" s="1"/>
  <c r="U10" i="31"/>
  <c r="AH14" i="31"/>
  <c r="AI14" i="31" s="1"/>
  <c r="U15" i="31"/>
  <c r="AG15" i="31" s="1"/>
  <c r="AC15" i="31" s="1"/>
  <c r="AD15" i="31" s="1"/>
  <c r="AJ14" i="31"/>
  <c r="AG14" i="31"/>
  <c r="AC14" i="31" s="1"/>
  <c r="AD14" i="31" s="1"/>
  <c r="U12" i="31"/>
  <c r="W14" i="31"/>
  <c r="Z14" i="31" s="1"/>
  <c r="AA14" i="31" s="1"/>
  <c r="K16" i="31"/>
  <c r="J16" i="31"/>
  <c r="BN6" i="23"/>
  <c r="AZ6" i="23"/>
  <c r="AL6" i="23"/>
  <c r="W10" i="31" l="1"/>
  <c r="Z10" i="31" s="1"/>
  <c r="AA10" i="31" s="1"/>
  <c r="U16" i="31"/>
  <c r="M14" i="16"/>
  <c r="N13" i="16"/>
  <c r="W13" i="31"/>
  <c r="Z13" i="31" s="1"/>
  <c r="AA13" i="31" s="1"/>
  <c r="AI14" i="15"/>
  <c r="AJ13" i="15"/>
  <c r="W11" i="31"/>
  <c r="Z11" i="31" s="1"/>
  <c r="AA11" i="31" s="1"/>
  <c r="AG10" i="31"/>
  <c r="AC10" i="31" s="1"/>
  <c r="AD10" i="31" s="1"/>
  <c r="AJ10" i="31"/>
  <c r="AL10" i="31" s="1"/>
  <c r="AJ13" i="31"/>
  <c r="AL13" i="31" s="1"/>
  <c r="AG11" i="31"/>
  <c r="AC11" i="31" s="1"/>
  <c r="AD11" i="31" s="1"/>
  <c r="AJ15" i="31"/>
  <c r="AL15" i="31" s="1"/>
  <c r="W15" i="31"/>
  <c r="Z15" i="31" s="1"/>
  <c r="AA15" i="31" s="1"/>
  <c r="AL14" i="31"/>
  <c r="AK14" i="31"/>
  <c r="W12" i="31"/>
  <c r="Z12" i="31" s="1"/>
  <c r="AA12" i="31" s="1"/>
  <c r="AJ12" i="31"/>
  <c r="AL12" i="31" s="1"/>
  <c r="AG12" i="31"/>
  <c r="AC12" i="31" s="1"/>
  <c r="AD12" i="31" s="1"/>
  <c r="I16" i="31"/>
  <c r="AG9" i="31"/>
  <c r="AC9" i="31" s="1"/>
  <c r="AD9" i="31" s="1"/>
  <c r="AJ9" i="31"/>
  <c r="AL9" i="31" s="1"/>
  <c r="W9" i="31"/>
  <c r="Z9" i="31" s="1"/>
  <c r="AA9" i="31" s="1"/>
  <c r="AK11" i="31"/>
  <c r="C2" i="23"/>
  <c r="AK10" i="31" l="1"/>
  <c r="M15" i="16"/>
  <c r="N14" i="16"/>
  <c r="AI15" i="15"/>
  <c r="AJ14" i="15"/>
  <c r="AK13" i="31"/>
  <c r="AK15" i="31"/>
  <c r="AK9" i="31"/>
  <c r="AK12" i="31"/>
  <c r="AG16" i="31"/>
  <c r="AC16" i="31" s="1"/>
  <c r="W16" i="31"/>
  <c r="Z16" i="31" s="1"/>
  <c r="AJ16" i="31"/>
  <c r="AL16" i="31" s="1"/>
  <c r="CM6" i="24"/>
  <c r="M16" i="16" l="1"/>
  <c r="N16" i="16" s="1"/>
  <c r="N15" i="16"/>
  <c r="AA16" i="31"/>
  <c r="H10" i="30"/>
  <c r="AI16" i="15"/>
  <c r="AJ16" i="15" s="1"/>
  <c r="AJ15" i="15"/>
  <c r="AD16" i="31"/>
  <c r="F10" i="30"/>
  <c r="G10" i="30" s="1"/>
  <c r="AK16" i="31"/>
  <c r="U12" i="24"/>
  <c r="U11" i="24"/>
  <c r="U10" i="24"/>
  <c r="U9" i="24"/>
  <c r="U8" i="24"/>
  <c r="U7" i="24"/>
  <c r="U6" i="24"/>
  <c r="AI12" i="24"/>
  <c r="AI11" i="24"/>
  <c r="AI10" i="24"/>
  <c r="AI9" i="24"/>
  <c r="AI8" i="24"/>
  <c r="AI7" i="24"/>
  <c r="AI6" i="24"/>
  <c r="BY12" i="24"/>
  <c r="BY11" i="24"/>
  <c r="BY10" i="24"/>
  <c r="BY9" i="24"/>
  <c r="BY8" i="24"/>
  <c r="BY7" i="24"/>
  <c r="BY6" i="24"/>
  <c r="CM12" i="24"/>
  <c r="CM11" i="24"/>
  <c r="CM10" i="24"/>
  <c r="CM9" i="24"/>
  <c r="CM8" i="24"/>
  <c r="CM7" i="24"/>
  <c r="CL12" i="24"/>
  <c r="CL11" i="24"/>
  <c r="CL10" i="24"/>
  <c r="CL9" i="24"/>
  <c r="CL8" i="24"/>
  <c r="CL7" i="24"/>
  <c r="CL6" i="24"/>
  <c r="BX12" i="24"/>
  <c r="BX11" i="24"/>
  <c r="BX10" i="24"/>
  <c r="BX9" i="24"/>
  <c r="BX8" i="24"/>
  <c r="BX7" i="24"/>
  <c r="BX6" i="24"/>
  <c r="AH12" i="24"/>
  <c r="AH11" i="24"/>
  <c r="AH10" i="24"/>
  <c r="AH9" i="24"/>
  <c r="AH8" i="24"/>
  <c r="AH7" i="24"/>
  <c r="AH6" i="24"/>
  <c r="T12" i="24"/>
  <c r="T11" i="24"/>
  <c r="T10" i="24"/>
  <c r="T9" i="24"/>
  <c r="T8" i="24"/>
  <c r="T7" i="24"/>
  <c r="T6" i="24"/>
  <c r="CK12" i="24"/>
  <c r="BW12" i="24"/>
  <c r="AG12" i="24"/>
  <c r="S12" i="24"/>
  <c r="CK11" i="24"/>
  <c r="BW11" i="24"/>
  <c r="AG11" i="24"/>
  <c r="S11" i="24"/>
  <c r="CK10" i="24"/>
  <c r="BW10" i="24"/>
  <c r="AG10" i="24"/>
  <c r="S10" i="24"/>
  <c r="CK9" i="24"/>
  <c r="BW9" i="24"/>
  <c r="AG9" i="24"/>
  <c r="S9" i="24"/>
  <c r="CK8" i="24"/>
  <c r="BW8" i="24"/>
  <c r="AG8" i="24"/>
  <c r="S8" i="24"/>
  <c r="BW7" i="24"/>
  <c r="AG7" i="24"/>
  <c r="S7" i="24"/>
  <c r="CK7" i="24"/>
  <c r="CK6" i="24"/>
  <c r="BW6" i="24"/>
  <c r="AG6" i="24"/>
  <c r="S6" i="24"/>
  <c r="G12" i="24" l="1"/>
  <c r="G11" i="24"/>
  <c r="G10" i="24"/>
  <c r="G9" i="24"/>
  <c r="G8" i="24"/>
  <c r="G7" i="24"/>
  <c r="G6" i="24"/>
  <c r="F12" i="24"/>
  <c r="F11" i="24"/>
  <c r="F10" i="24"/>
  <c r="F9" i="24"/>
  <c r="F8" i="24"/>
  <c r="F7" i="24"/>
  <c r="F6" i="24"/>
  <c r="E12" i="24"/>
  <c r="E9" i="24"/>
  <c r="E8" i="24"/>
  <c r="CY8" i="24" s="1"/>
  <c r="E10" i="24"/>
  <c r="E11" i="24"/>
  <c r="E7" i="24"/>
  <c r="E6" i="24"/>
  <c r="Q6" i="24" l="1"/>
  <c r="H9" i="11" l="1"/>
  <c r="H10" i="11"/>
  <c r="H11" i="11"/>
  <c r="H12" i="11"/>
  <c r="H13" i="11"/>
  <c r="H14" i="11"/>
  <c r="H15" i="11"/>
  <c r="H16" i="11"/>
  <c r="CY6" i="24"/>
  <c r="U16" i="9" l="1"/>
  <c r="DG12" i="24"/>
  <c r="DG11" i="24"/>
  <c r="DG10" i="24"/>
  <c r="DG9" i="24"/>
  <c r="DG8" i="24"/>
  <c r="DG7" i="24"/>
  <c r="CZ6" i="24"/>
  <c r="DA6" i="24"/>
  <c r="DC6" i="24"/>
  <c r="DD6" i="24"/>
  <c r="DE6" i="24"/>
  <c r="DF6" i="24"/>
  <c r="CZ7" i="24"/>
  <c r="DA7" i="24"/>
  <c r="DC7" i="24"/>
  <c r="DD7" i="24"/>
  <c r="DE7" i="24"/>
  <c r="DF7" i="24"/>
  <c r="CZ8" i="24"/>
  <c r="DA8" i="24"/>
  <c r="DC8" i="24"/>
  <c r="DD8" i="24"/>
  <c r="DE8" i="24"/>
  <c r="DF8" i="24"/>
  <c r="CZ9" i="24"/>
  <c r="DA9" i="24"/>
  <c r="DC9" i="24"/>
  <c r="DD9" i="24"/>
  <c r="DE9" i="24"/>
  <c r="DF9" i="24"/>
  <c r="CZ10" i="24"/>
  <c r="DA10" i="24"/>
  <c r="DC10" i="24"/>
  <c r="DD10" i="24"/>
  <c r="DE10" i="24"/>
  <c r="DF10" i="24"/>
  <c r="CZ11" i="24"/>
  <c r="DA11" i="24"/>
  <c r="DC11" i="24"/>
  <c r="DD11" i="24"/>
  <c r="DE11" i="24"/>
  <c r="DF11" i="24"/>
  <c r="CZ12" i="24"/>
  <c r="DA12" i="24"/>
  <c r="DC12" i="24"/>
  <c r="DD12" i="24"/>
  <c r="DE12" i="24"/>
  <c r="DF12" i="24"/>
  <c r="CY7" i="24"/>
  <c r="CY9" i="24"/>
  <c r="CY10" i="24"/>
  <c r="CY11" i="24"/>
  <c r="CY12" i="24"/>
  <c r="DG6" i="24" l="1"/>
  <c r="I17" i="12"/>
  <c r="J17" i="12"/>
  <c r="L17" i="12"/>
  <c r="M17" i="12"/>
  <c r="O17" i="12"/>
  <c r="P17" i="12"/>
  <c r="R17" i="12"/>
  <c r="S17" i="12"/>
  <c r="T17" i="12"/>
  <c r="AR16" i="7" l="1"/>
  <c r="AS16" i="7"/>
  <c r="GM13" i="25"/>
  <c r="GL13" i="25"/>
  <c r="GJ13" i="25"/>
  <c r="GI13" i="25"/>
  <c r="GH13" i="25"/>
  <c r="GG13" i="25"/>
  <c r="GF13" i="25"/>
  <c r="FY13" i="25"/>
  <c r="FX13" i="25"/>
  <c r="FV13" i="25"/>
  <c r="FU13" i="25"/>
  <c r="FT13" i="25"/>
  <c r="FS13" i="25"/>
  <c r="FR13" i="25"/>
  <c r="FK13" i="25"/>
  <c r="FJ13" i="25"/>
  <c r="FH13" i="25"/>
  <c r="FG13" i="25"/>
  <c r="FF13" i="25"/>
  <c r="FE13" i="25"/>
  <c r="FD13" i="25"/>
  <c r="EW13" i="25"/>
  <c r="EV13" i="25"/>
  <c r="ET13" i="25"/>
  <c r="ES13" i="25"/>
  <c r="ER13" i="25"/>
  <c r="EQ13" i="25"/>
  <c r="EP13" i="25"/>
  <c r="EI13" i="25"/>
  <c r="EH13" i="25"/>
  <c r="EF13" i="25"/>
  <c r="EE13" i="25"/>
  <c r="ED13" i="25"/>
  <c r="EC13" i="25"/>
  <c r="EB13" i="25"/>
  <c r="DU13" i="25"/>
  <c r="DT13" i="25"/>
  <c r="DS13" i="25"/>
  <c r="DR13" i="25"/>
  <c r="DQ13" i="25"/>
  <c r="DP13" i="25"/>
  <c r="DO13" i="25"/>
  <c r="DN13" i="25"/>
  <c r="DG13" i="25"/>
  <c r="DF13" i="25"/>
  <c r="DD13" i="25"/>
  <c r="DC13" i="25"/>
  <c r="DB13" i="25"/>
  <c r="DA13" i="25"/>
  <c r="CZ13" i="25"/>
  <c r="CS13" i="25"/>
  <c r="CR13" i="25"/>
  <c r="CP13" i="25"/>
  <c r="CO13" i="25"/>
  <c r="CN13" i="25"/>
  <c r="CM13" i="25"/>
  <c r="CL13" i="25"/>
  <c r="CE13" i="25"/>
  <c r="CD13" i="25"/>
  <c r="CB13" i="25"/>
  <c r="CA13" i="25"/>
  <c r="BZ13" i="25"/>
  <c r="BY13" i="25"/>
  <c r="BX13" i="25"/>
  <c r="BQ13" i="25"/>
  <c r="BP13" i="25"/>
  <c r="BN13" i="25"/>
  <c r="BM13" i="25"/>
  <c r="BL13" i="25"/>
  <c r="BK13" i="25"/>
  <c r="BJ13" i="25"/>
  <c r="BC13" i="25"/>
  <c r="BB13" i="25"/>
  <c r="AZ13" i="25"/>
  <c r="AY13" i="25"/>
  <c r="AX13" i="25"/>
  <c r="AW13" i="25"/>
  <c r="AV13" i="25"/>
  <c r="AI13" i="25"/>
  <c r="AJ13" i="25"/>
  <c r="AK13" i="25"/>
  <c r="AL13" i="25"/>
  <c r="AN13" i="25"/>
  <c r="AO13" i="25"/>
  <c r="AH13" i="25"/>
  <c r="DJ13" i="23"/>
  <c r="DI13" i="23"/>
  <c r="DH13" i="23"/>
  <c r="DG13" i="23"/>
  <c r="DF13" i="23"/>
  <c r="DE13" i="23"/>
  <c r="DD13" i="23"/>
  <c r="DC13" i="23"/>
  <c r="CW13" i="23"/>
  <c r="CV13" i="23"/>
  <c r="CU13" i="23"/>
  <c r="CT13" i="23"/>
  <c r="CS13" i="23"/>
  <c r="CR13" i="23"/>
  <c r="CQ13" i="23"/>
  <c r="CP13" i="23"/>
  <c r="CI13" i="23"/>
  <c r="CH13" i="23"/>
  <c r="CG13" i="23"/>
  <c r="CF13" i="23"/>
  <c r="CE13" i="23"/>
  <c r="CD13" i="23"/>
  <c r="CC13" i="23"/>
  <c r="CB13" i="23"/>
  <c r="BU13" i="23"/>
  <c r="BT13" i="23"/>
  <c r="BS13" i="23"/>
  <c r="BR13" i="23"/>
  <c r="BQ13" i="23"/>
  <c r="BP13" i="23"/>
  <c r="BO13" i="23"/>
  <c r="BN13" i="23"/>
  <c r="BG13" i="23"/>
  <c r="BE13" i="23"/>
  <c r="BD13" i="23"/>
  <c r="BC13" i="23"/>
  <c r="BB13" i="23"/>
  <c r="BA13" i="23"/>
  <c r="AZ13" i="23"/>
  <c r="AS13" i="23"/>
  <c r="AQ13" i="23"/>
  <c r="AP13" i="23"/>
  <c r="AO13" i="23"/>
  <c r="AN13" i="23"/>
  <c r="AM13" i="23"/>
  <c r="AL13" i="23"/>
  <c r="F13" i="23"/>
  <c r="G13" i="23"/>
  <c r="H13" i="23"/>
  <c r="I13" i="23"/>
  <c r="J13" i="23"/>
  <c r="L13" i="23"/>
  <c r="E13" i="23"/>
  <c r="DN13" i="24"/>
  <c r="DO13" i="24"/>
  <c r="DP13" i="24"/>
  <c r="DQ13" i="24"/>
  <c r="DS13" i="24"/>
  <c r="DT13" i="24"/>
  <c r="DM13" i="24"/>
  <c r="CZ13" i="24"/>
  <c r="DA13" i="24"/>
  <c r="DB13" i="24"/>
  <c r="DC13" i="24"/>
  <c r="DD13" i="24"/>
  <c r="DE13" i="24"/>
  <c r="CY13" i="24"/>
  <c r="BX13" i="24"/>
  <c r="BY13" i="24"/>
  <c r="BZ13" i="24"/>
  <c r="CA13" i="24"/>
  <c r="CC13" i="24"/>
  <c r="CD13" i="24"/>
  <c r="BW13" i="24"/>
  <c r="AH13" i="24"/>
  <c r="AI13" i="24"/>
  <c r="AJ13" i="24"/>
  <c r="AK13" i="24"/>
  <c r="AM13" i="24"/>
  <c r="AN13" i="24"/>
  <c r="AG13" i="24"/>
  <c r="T13" i="24"/>
  <c r="U13" i="24"/>
  <c r="V13" i="24"/>
  <c r="W13" i="24"/>
  <c r="Y13" i="24"/>
  <c r="Z13" i="24"/>
  <c r="S13" i="24"/>
  <c r="G13" i="24"/>
  <c r="H13" i="24"/>
  <c r="I13" i="24"/>
  <c r="K13" i="24"/>
  <c r="L13" i="24"/>
  <c r="F13" i="24"/>
  <c r="DJ12" i="24"/>
  <c r="DJ11" i="24"/>
  <c r="DJ10" i="24"/>
  <c r="DJ9" i="24"/>
  <c r="DJ8" i="24"/>
  <c r="DI12" i="24"/>
  <c r="DI9" i="24"/>
  <c r="DI8" i="24"/>
  <c r="DI7" i="24"/>
  <c r="DI6" i="24"/>
  <c r="DH12" i="24"/>
  <c r="DH11" i="24"/>
  <c r="DH10" i="24"/>
  <c r="DH8" i="24"/>
  <c r="DH7" i="24"/>
  <c r="DH6" i="24"/>
  <c r="DI10" i="24" l="1"/>
  <c r="BE13" i="25"/>
  <c r="DI11" i="24"/>
  <c r="DJ6" i="24"/>
  <c r="DH9" i="24"/>
  <c r="DK9" i="24" s="1"/>
  <c r="DJ7" i="24"/>
  <c r="CU13" i="25"/>
  <c r="AR13" i="25"/>
  <c r="FN13" i="25"/>
  <c r="CK13" i="23"/>
  <c r="AR13" i="24"/>
  <c r="AD13" i="24"/>
  <c r="CG13" i="24"/>
  <c r="P13" i="23"/>
  <c r="DI13" i="25"/>
  <c r="BG13" i="25"/>
  <c r="DK13" i="25"/>
  <c r="GC13" i="25"/>
  <c r="DV13" i="24"/>
  <c r="EZ13" i="25"/>
  <c r="GA13" i="25"/>
  <c r="AQ13" i="25"/>
  <c r="FM13" i="25"/>
  <c r="O13" i="23"/>
  <c r="BK13" i="23"/>
  <c r="DN13" i="23"/>
  <c r="AC13" i="24"/>
  <c r="CF13" i="24"/>
  <c r="BT13" i="25"/>
  <c r="AU13" i="23"/>
  <c r="BX13" i="23"/>
  <c r="AP13" i="24"/>
  <c r="AW13" i="23"/>
  <c r="CY13" i="23"/>
  <c r="P13" i="24"/>
  <c r="BU13" i="25"/>
  <c r="EM13" i="25"/>
  <c r="EY13" i="25"/>
  <c r="GQ13" i="25"/>
  <c r="DA13" i="23"/>
  <c r="O13" i="24"/>
  <c r="CH13" i="24"/>
  <c r="CH13" i="25"/>
  <c r="CV13" i="25"/>
  <c r="BJ13" i="23"/>
  <c r="DM13" i="23"/>
  <c r="DW13" i="24"/>
  <c r="CM13" i="23"/>
  <c r="DX6" i="25"/>
  <c r="GP13" i="25"/>
  <c r="BW13" i="23"/>
  <c r="AB13" i="24"/>
  <c r="AS13" i="25"/>
  <c r="CW13" i="25"/>
  <c r="FO13" i="25"/>
  <c r="CG13" i="25"/>
  <c r="DJ13" i="25"/>
  <c r="AV13" i="23"/>
  <c r="CZ13" i="23"/>
  <c r="N13" i="24"/>
  <c r="CI13" i="25"/>
  <c r="FA13" i="25"/>
  <c r="BF13" i="25"/>
  <c r="BY13" i="23"/>
  <c r="AQ13" i="24"/>
  <c r="GB13" i="25"/>
  <c r="BS13" i="25"/>
  <c r="BI13" i="23"/>
  <c r="DL13" i="23"/>
  <c r="DX13" i="24"/>
  <c r="CL13" i="23"/>
  <c r="GO13" i="25"/>
  <c r="EK13" i="25"/>
  <c r="EL13" i="25"/>
  <c r="DY8" i="25"/>
  <c r="N13" i="23"/>
  <c r="DY7" i="25"/>
  <c r="DY6" i="25"/>
  <c r="DW6" i="25"/>
  <c r="DY9" i="25"/>
  <c r="DY10" i="25"/>
  <c r="DY11" i="25"/>
  <c r="DY12" i="25"/>
  <c r="O13" i="21"/>
  <c r="AB10" i="8"/>
  <c r="AB11" i="8"/>
  <c r="AB12" i="8"/>
  <c r="AB13" i="8"/>
  <c r="AB14" i="8"/>
  <c r="AB15" i="8"/>
  <c r="AB16" i="8"/>
  <c r="E11" i="30" s="1"/>
  <c r="AB9" i="8"/>
  <c r="AB10" i="7"/>
  <c r="AB11" i="7"/>
  <c r="AB12" i="7"/>
  <c r="AB13" i="7"/>
  <c r="AB14" i="7"/>
  <c r="AB15" i="7"/>
  <c r="AB16" i="7"/>
  <c r="E9" i="30" s="1"/>
  <c r="AB9" i="7"/>
  <c r="AB10" i="6"/>
  <c r="AB11" i="6"/>
  <c r="AB12" i="6"/>
  <c r="AB13" i="6"/>
  <c r="AB14" i="6"/>
  <c r="AB15" i="6"/>
  <c r="AB16" i="6"/>
  <c r="E8" i="30" s="1"/>
  <c r="AB9" i="6"/>
  <c r="DI13" i="24" l="1"/>
  <c r="DX13" i="25"/>
  <c r="DY13" i="25"/>
  <c r="DH13" i="24"/>
  <c r="DW13" i="25"/>
  <c r="AM10" i="5"/>
  <c r="AM11" i="5"/>
  <c r="AM12" i="5"/>
  <c r="AM13" i="5"/>
  <c r="AM14" i="5"/>
  <c r="AM15" i="5"/>
  <c r="AM16" i="5"/>
  <c r="E7" i="30" s="1"/>
  <c r="AM9" i="5"/>
  <c r="AA10" i="4"/>
  <c r="AA11" i="4"/>
  <c r="AA12" i="4"/>
  <c r="AA13" i="4"/>
  <c r="AA14" i="4"/>
  <c r="AA15" i="4"/>
  <c r="AA9" i="4"/>
  <c r="Q9" i="4"/>
  <c r="R9" i="4"/>
  <c r="S9" i="4"/>
  <c r="Q10" i="4"/>
  <c r="R10" i="4"/>
  <c r="Q11" i="4"/>
  <c r="R11" i="4"/>
  <c r="Q12" i="4"/>
  <c r="R12" i="4"/>
  <c r="Q13" i="4"/>
  <c r="R13" i="4"/>
  <c r="Q14" i="4"/>
  <c r="R14" i="4"/>
  <c r="Q15" i="4"/>
  <c r="R15" i="4"/>
  <c r="Q10" i="20"/>
  <c r="Q11" i="20"/>
  <c r="Q12" i="20"/>
  <c r="Q13" i="20"/>
  <c r="Q14" i="20"/>
  <c r="Q15" i="20"/>
  <c r="Q16" i="20"/>
  <c r="E23" i="30" s="1"/>
  <c r="Q9" i="20"/>
  <c r="K10" i="20"/>
  <c r="L10" i="20" s="1"/>
  <c r="K11" i="20"/>
  <c r="L11" i="20" s="1"/>
  <c r="K12" i="20"/>
  <c r="L12" i="20" s="1"/>
  <c r="K13" i="20"/>
  <c r="L13" i="20" s="1"/>
  <c r="K14" i="20"/>
  <c r="L14" i="20" s="1"/>
  <c r="K15" i="20"/>
  <c r="L15" i="20" s="1"/>
  <c r="K9" i="20"/>
  <c r="L9" i="20" s="1"/>
  <c r="AB10" i="19"/>
  <c r="AB11" i="19"/>
  <c r="AB12" i="19"/>
  <c r="AB13" i="19"/>
  <c r="AB14" i="19"/>
  <c r="AB15" i="19"/>
  <c r="AB16" i="19"/>
  <c r="E22" i="30" s="1"/>
  <c r="AB9" i="19"/>
  <c r="V10" i="19"/>
  <c r="AE10" i="19" s="1"/>
  <c r="AF10" i="19" s="1"/>
  <c r="V11" i="19"/>
  <c r="AE11" i="19" s="1"/>
  <c r="V12" i="19"/>
  <c r="AE12" i="19" s="1"/>
  <c r="V13" i="19"/>
  <c r="AE13" i="19" s="1"/>
  <c r="V14" i="19"/>
  <c r="AE14" i="19" s="1"/>
  <c r="V15" i="19"/>
  <c r="AE15" i="19" s="1"/>
  <c r="V9" i="19"/>
  <c r="J9" i="19"/>
  <c r="K9" i="19"/>
  <c r="L9" i="19"/>
  <c r="M9" i="19"/>
  <c r="N9" i="19"/>
  <c r="O9" i="19"/>
  <c r="P9" i="19"/>
  <c r="R9" i="19"/>
  <c r="S9" i="19"/>
  <c r="T9" i="19"/>
  <c r="J10" i="19"/>
  <c r="K10" i="19"/>
  <c r="L10" i="19"/>
  <c r="M10" i="19"/>
  <c r="N10" i="19"/>
  <c r="O10" i="19"/>
  <c r="P10" i="19"/>
  <c r="R10" i="19"/>
  <c r="S10" i="19"/>
  <c r="T10" i="19"/>
  <c r="J11" i="19"/>
  <c r="K11" i="19"/>
  <c r="L11" i="19"/>
  <c r="M11" i="19"/>
  <c r="N11" i="19"/>
  <c r="O11" i="19"/>
  <c r="P11" i="19"/>
  <c r="R11" i="19"/>
  <c r="S11" i="19"/>
  <c r="T11" i="19"/>
  <c r="J12" i="19"/>
  <c r="K12" i="19"/>
  <c r="L12" i="19"/>
  <c r="M12" i="19"/>
  <c r="N12" i="19"/>
  <c r="O12" i="19"/>
  <c r="P12" i="19"/>
  <c r="R12" i="19"/>
  <c r="S12" i="19"/>
  <c r="T12" i="19"/>
  <c r="J13" i="19"/>
  <c r="K13" i="19"/>
  <c r="L13" i="19"/>
  <c r="M13" i="19"/>
  <c r="N13" i="19"/>
  <c r="O13" i="19"/>
  <c r="P13" i="19"/>
  <c r="R13" i="19"/>
  <c r="S13" i="19"/>
  <c r="T13" i="19"/>
  <c r="J14" i="19"/>
  <c r="K14" i="19"/>
  <c r="L14" i="19"/>
  <c r="M14" i="19"/>
  <c r="N14" i="19"/>
  <c r="O14" i="19"/>
  <c r="P14" i="19"/>
  <c r="R14" i="19"/>
  <c r="S14" i="19"/>
  <c r="T14" i="19"/>
  <c r="J15" i="19"/>
  <c r="K15" i="19"/>
  <c r="L15" i="19"/>
  <c r="M15" i="19"/>
  <c r="N15" i="19"/>
  <c r="O15" i="19"/>
  <c r="P15" i="19"/>
  <c r="R15" i="19"/>
  <c r="S15" i="19"/>
  <c r="T15" i="19"/>
  <c r="I10" i="19"/>
  <c r="I11" i="19"/>
  <c r="I12" i="19"/>
  <c r="I13" i="19"/>
  <c r="I14" i="19"/>
  <c r="I15" i="19"/>
  <c r="I9" i="19"/>
  <c r="Q10" i="18"/>
  <c r="Q11" i="18"/>
  <c r="Q12" i="18"/>
  <c r="Q13" i="18"/>
  <c r="Q14" i="18"/>
  <c r="Q15" i="18"/>
  <c r="Q16" i="18"/>
  <c r="E21" i="30" s="1"/>
  <c r="Q9" i="18"/>
  <c r="AN12" i="27"/>
  <c r="K15" i="18" s="1"/>
  <c r="Q10" i="17"/>
  <c r="Q11" i="17"/>
  <c r="Q12" i="17"/>
  <c r="Q13" i="17"/>
  <c r="Q14" i="17"/>
  <c r="Q15" i="17"/>
  <c r="Q16" i="17"/>
  <c r="E20" i="30" s="1"/>
  <c r="Q9" i="17"/>
  <c r="AH6" i="27"/>
  <c r="K9" i="17" s="1"/>
  <c r="L9" i="17" s="1"/>
  <c r="AH12" i="27"/>
  <c r="K15" i="17" s="1"/>
  <c r="L15" i="17" s="1"/>
  <c r="T13" i="20" l="1"/>
  <c r="T9" i="17"/>
  <c r="T11" i="20"/>
  <c r="U11" i="20" s="1"/>
  <c r="T12" i="20"/>
  <c r="T15" i="18"/>
  <c r="U15" i="18" s="1"/>
  <c r="L15" i="18"/>
  <c r="T10" i="20"/>
  <c r="U10" i="20" s="1"/>
  <c r="T14" i="20"/>
  <c r="U14" i="20" s="1"/>
  <c r="W14" i="20" s="1"/>
  <c r="X14" i="20" s="1"/>
  <c r="T9" i="20"/>
  <c r="T15" i="17"/>
  <c r="U15" i="17" s="1"/>
  <c r="T15" i="20"/>
  <c r="U15" i="20" s="1"/>
  <c r="AE9" i="19"/>
  <c r="V16" i="19"/>
  <c r="AE16" i="19" s="1"/>
  <c r="AH10" i="19"/>
  <c r="AI10" i="19" s="1"/>
  <c r="AF16" i="19"/>
  <c r="U13" i="20"/>
  <c r="AF14" i="19"/>
  <c r="AF13" i="19"/>
  <c r="AF12" i="19"/>
  <c r="U12" i="20"/>
  <c r="K16" i="20"/>
  <c r="M16" i="19"/>
  <c r="I16" i="19"/>
  <c r="N16" i="19"/>
  <c r="P16" i="19"/>
  <c r="L16" i="19"/>
  <c r="K16" i="19"/>
  <c r="J16" i="19"/>
  <c r="O16" i="19"/>
  <c r="R16" i="19"/>
  <c r="S16" i="19"/>
  <c r="T16" i="19"/>
  <c r="R16" i="4"/>
  <c r="Q16" i="4"/>
  <c r="R11" i="20"/>
  <c r="S11" i="20" s="1"/>
  <c r="AF15" i="19"/>
  <c r="AF11" i="19"/>
  <c r="T16" i="20" l="1"/>
  <c r="U16" i="20" s="1"/>
  <c r="L16" i="20"/>
  <c r="AH16" i="19"/>
  <c r="AI16" i="19" s="1"/>
  <c r="AH15" i="19"/>
  <c r="AI15" i="19" s="1"/>
  <c r="AH11" i="19"/>
  <c r="AI11" i="19" s="1"/>
  <c r="W16" i="20"/>
  <c r="X16" i="20" s="1"/>
  <c r="AH14" i="19"/>
  <c r="AI14" i="19" s="1"/>
  <c r="W15" i="20"/>
  <c r="X15" i="20" s="1"/>
  <c r="W10" i="20"/>
  <c r="X10" i="20" s="1"/>
  <c r="W13" i="20"/>
  <c r="X13" i="20" s="1"/>
  <c r="W15" i="18"/>
  <c r="X15" i="18" s="1"/>
  <c r="W11" i="20"/>
  <c r="X11" i="20" s="1"/>
  <c r="AA11" i="20" s="1"/>
  <c r="W12" i="20"/>
  <c r="X12" i="20" s="1"/>
  <c r="AH12" i="19"/>
  <c r="AI12" i="19" s="1"/>
  <c r="AH13" i="19"/>
  <c r="AI13" i="19" s="1"/>
  <c r="W15" i="17"/>
  <c r="X15" i="17" s="1"/>
  <c r="Z11" i="20" l="1"/>
  <c r="Q10" i="16"/>
  <c r="Q11" i="16"/>
  <c r="Q12" i="16"/>
  <c r="Q13" i="16"/>
  <c r="Q14" i="16"/>
  <c r="Q15" i="16"/>
  <c r="Q16" i="16"/>
  <c r="E19" i="30" s="1"/>
  <c r="Q9" i="16"/>
  <c r="K10" i="16"/>
  <c r="L10" i="16" s="1"/>
  <c r="K11" i="16"/>
  <c r="L11" i="16" s="1"/>
  <c r="K12" i="16"/>
  <c r="L12" i="16" s="1"/>
  <c r="K13" i="16"/>
  <c r="L13" i="16" s="1"/>
  <c r="K14" i="16"/>
  <c r="L14" i="16" s="1"/>
  <c r="K15" i="16"/>
  <c r="L15" i="16" s="1"/>
  <c r="K9" i="16"/>
  <c r="AM10" i="15"/>
  <c r="AM11" i="15"/>
  <c r="AM12" i="15"/>
  <c r="AM13" i="15"/>
  <c r="AM14" i="15"/>
  <c r="AM15" i="15"/>
  <c r="AM16" i="15"/>
  <c r="E18" i="30" s="1"/>
  <c r="AM9" i="15"/>
  <c r="V9" i="15"/>
  <c r="W9" i="15"/>
  <c r="X9" i="15"/>
  <c r="Y9" i="15"/>
  <c r="Z9" i="15"/>
  <c r="AA9" i="15"/>
  <c r="AB9" i="15"/>
  <c r="AD9" i="15"/>
  <c r="AE9" i="15"/>
  <c r="AF9" i="15"/>
  <c r="V10" i="15"/>
  <c r="W10" i="15"/>
  <c r="X10" i="15"/>
  <c r="Y10" i="15"/>
  <c r="Z10" i="15"/>
  <c r="AA10" i="15"/>
  <c r="AB10" i="15"/>
  <c r="AD10" i="15"/>
  <c r="AE10" i="15"/>
  <c r="AF10" i="15"/>
  <c r="V11" i="15"/>
  <c r="W11" i="15"/>
  <c r="X11" i="15"/>
  <c r="Y11" i="15"/>
  <c r="Z11" i="15"/>
  <c r="AA11" i="15"/>
  <c r="AB11" i="15"/>
  <c r="AD11" i="15"/>
  <c r="AE11" i="15"/>
  <c r="AF11" i="15"/>
  <c r="V12" i="15"/>
  <c r="W12" i="15"/>
  <c r="X12" i="15"/>
  <c r="Y12" i="15"/>
  <c r="Z12" i="15"/>
  <c r="AA12" i="15"/>
  <c r="AB12" i="15"/>
  <c r="AD12" i="15"/>
  <c r="AE12" i="15"/>
  <c r="AF12" i="15"/>
  <c r="V13" i="15"/>
  <c r="W13" i="15"/>
  <c r="X13" i="15"/>
  <c r="Y13" i="15"/>
  <c r="Z13" i="15"/>
  <c r="AA13" i="15"/>
  <c r="AB13" i="15"/>
  <c r="AD13" i="15"/>
  <c r="AE13" i="15"/>
  <c r="AF13" i="15"/>
  <c r="V14" i="15"/>
  <c r="W14" i="15"/>
  <c r="X14" i="15"/>
  <c r="Y14" i="15"/>
  <c r="Z14" i="15"/>
  <c r="AA14" i="15"/>
  <c r="AB14" i="15"/>
  <c r="AD14" i="15"/>
  <c r="AE14" i="15"/>
  <c r="AF14" i="15"/>
  <c r="V15" i="15"/>
  <c r="W15" i="15"/>
  <c r="X15" i="15"/>
  <c r="Y15" i="15"/>
  <c r="Z15" i="15"/>
  <c r="AA15" i="15"/>
  <c r="AB15" i="15"/>
  <c r="AD15" i="15"/>
  <c r="AE15" i="15"/>
  <c r="AF15" i="15"/>
  <c r="U10" i="15"/>
  <c r="U11" i="15"/>
  <c r="U12" i="15"/>
  <c r="U13" i="15"/>
  <c r="U14" i="15"/>
  <c r="U15" i="15"/>
  <c r="I9" i="15"/>
  <c r="J9" i="15"/>
  <c r="K9" i="15"/>
  <c r="L9" i="15"/>
  <c r="M9" i="15"/>
  <c r="N9" i="15"/>
  <c r="O9" i="15"/>
  <c r="Q9" i="15"/>
  <c r="R9" i="15"/>
  <c r="S9" i="15"/>
  <c r="I10" i="15"/>
  <c r="J10" i="15"/>
  <c r="K10" i="15"/>
  <c r="L10" i="15"/>
  <c r="M10" i="15"/>
  <c r="N10" i="15"/>
  <c r="O10" i="15"/>
  <c r="Q10" i="15"/>
  <c r="R10" i="15"/>
  <c r="S10" i="15"/>
  <c r="I11" i="15"/>
  <c r="J11" i="15"/>
  <c r="K11" i="15"/>
  <c r="L11" i="15"/>
  <c r="M11" i="15"/>
  <c r="N11" i="15"/>
  <c r="O11" i="15"/>
  <c r="Q11" i="15"/>
  <c r="R11" i="15"/>
  <c r="S11" i="15"/>
  <c r="I12" i="15"/>
  <c r="J12" i="15"/>
  <c r="K12" i="15"/>
  <c r="L12" i="15"/>
  <c r="M12" i="15"/>
  <c r="N12" i="15"/>
  <c r="O12" i="15"/>
  <c r="Q12" i="15"/>
  <c r="R12" i="15"/>
  <c r="S12" i="15"/>
  <c r="I13" i="15"/>
  <c r="J13" i="15"/>
  <c r="K13" i="15"/>
  <c r="L13" i="15"/>
  <c r="M13" i="15"/>
  <c r="N13" i="15"/>
  <c r="O13" i="15"/>
  <c r="Q13" i="15"/>
  <c r="R13" i="15"/>
  <c r="S13" i="15"/>
  <c r="I14" i="15"/>
  <c r="J14" i="15"/>
  <c r="K14" i="15"/>
  <c r="L14" i="15"/>
  <c r="M14" i="15"/>
  <c r="N14" i="15"/>
  <c r="O14" i="15"/>
  <c r="Q14" i="15"/>
  <c r="R14" i="15"/>
  <c r="S14" i="15"/>
  <c r="I15" i="15"/>
  <c r="J15" i="15"/>
  <c r="K15" i="15"/>
  <c r="L15" i="15"/>
  <c r="M15" i="15"/>
  <c r="N15" i="15"/>
  <c r="O15" i="15"/>
  <c r="Q15" i="15"/>
  <c r="R15" i="15"/>
  <c r="S15" i="15"/>
  <c r="H10" i="15"/>
  <c r="H11" i="15"/>
  <c r="H12" i="15"/>
  <c r="H13" i="15"/>
  <c r="H14" i="15"/>
  <c r="H15" i="15"/>
  <c r="U9" i="15"/>
  <c r="H9" i="15"/>
  <c r="AA10" i="13"/>
  <c r="AA11" i="13"/>
  <c r="AA12" i="13"/>
  <c r="AA13" i="13"/>
  <c r="AA14" i="13"/>
  <c r="AA15" i="13"/>
  <c r="AA16" i="13"/>
  <c r="E16" i="30" s="1"/>
  <c r="AA9" i="13"/>
  <c r="I9" i="13"/>
  <c r="J9" i="13"/>
  <c r="K9" i="13"/>
  <c r="L9" i="13"/>
  <c r="M9" i="13"/>
  <c r="N9" i="13"/>
  <c r="O9" i="13"/>
  <c r="Q9" i="13"/>
  <c r="R9" i="13"/>
  <c r="S9" i="13"/>
  <c r="I10" i="13"/>
  <c r="J10" i="13"/>
  <c r="K10" i="13"/>
  <c r="L10" i="13"/>
  <c r="M10" i="13"/>
  <c r="N10" i="13"/>
  <c r="O10" i="13"/>
  <c r="Q10" i="13"/>
  <c r="R10" i="13"/>
  <c r="S10" i="13"/>
  <c r="I11" i="13"/>
  <c r="J11" i="13"/>
  <c r="K11" i="13"/>
  <c r="L11" i="13"/>
  <c r="M11" i="13"/>
  <c r="N11" i="13"/>
  <c r="O11" i="13"/>
  <c r="Q11" i="13"/>
  <c r="R11" i="13"/>
  <c r="S11" i="13"/>
  <c r="I12" i="13"/>
  <c r="J12" i="13"/>
  <c r="K12" i="13"/>
  <c r="L12" i="13"/>
  <c r="M12" i="13"/>
  <c r="N12" i="13"/>
  <c r="O12" i="13"/>
  <c r="Q12" i="13"/>
  <c r="R12" i="13"/>
  <c r="S12" i="13"/>
  <c r="I13" i="13"/>
  <c r="J13" i="13"/>
  <c r="K13" i="13"/>
  <c r="L13" i="13"/>
  <c r="M13" i="13"/>
  <c r="N13" i="13"/>
  <c r="O13" i="13"/>
  <c r="Q13" i="13"/>
  <c r="R13" i="13"/>
  <c r="S13" i="13"/>
  <c r="I14" i="13"/>
  <c r="J14" i="13"/>
  <c r="K14" i="13"/>
  <c r="L14" i="13"/>
  <c r="M14" i="13"/>
  <c r="N14" i="13"/>
  <c r="O14" i="13"/>
  <c r="Q14" i="13"/>
  <c r="R14" i="13"/>
  <c r="S14" i="13"/>
  <c r="I15" i="13"/>
  <c r="J15" i="13"/>
  <c r="K15" i="13"/>
  <c r="L15" i="13"/>
  <c r="M15" i="13"/>
  <c r="N15" i="13"/>
  <c r="O15" i="13"/>
  <c r="Q15" i="13"/>
  <c r="R15" i="13"/>
  <c r="S15" i="13"/>
  <c r="H10" i="13"/>
  <c r="H11" i="13"/>
  <c r="H12" i="13"/>
  <c r="H13" i="13"/>
  <c r="H14" i="13"/>
  <c r="H15" i="13"/>
  <c r="H9" i="13"/>
  <c r="T9" i="16" l="1"/>
  <c r="L9" i="16"/>
  <c r="T10" i="16"/>
  <c r="T13" i="16"/>
  <c r="U13" i="16" s="1"/>
  <c r="T14" i="16"/>
  <c r="T11" i="16"/>
  <c r="U11" i="16" s="1"/>
  <c r="T15" i="16"/>
  <c r="U15" i="16" s="1"/>
  <c r="T12" i="16"/>
  <c r="U12" i="16" s="1"/>
  <c r="W12" i="16"/>
  <c r="X12" i="16" s="1"/>
  <c r="W13" i="16"/>
  <c r="X13" i="16" s="1"/>
  <c r="U14" i="16"/>
  <c r="S16" i="13"/>
  <c r="R16" i="13"/>
  <c r="Q16" i="13"/>
  <c r="O16" i="13"/>
  <c r="H16" i="13"/>
  <c r="M16" i="13"/>
  <c r="L16" i="13"/>
  <c r="K16" i="13"/>
  <c r="N16" i="13"/>
  <c r="J16" i="13"/>
  <c r="I16" i="13"/>
  <c r="H16" i="15"/>
  <c r="S16" i="15"/>
  <c r="U16" i="15"/>
  <c r="W16" i="15"/>
  <c r="Q16" i="15"/>
  <c r="O16" i="15"/>
  <c r="L16" i="15"/>
  <c r="M16" i="15"/>
  <c r="K16" i="15"/>
  <c r="AD16" i="15"/>
  <c r="N16" i="15"/>
  <c r="J16" i="15"/>
  <c r="AE16" i="15"/>
  <c r="AB16" i="15"/>
  <c r="AF16" i="15"/>
  <c r="V16" i="15"/>
  <c r="Y16" i="15"/>
  <c r="Z16" i="15"/>
  <c r="X16" i="15"/>
  <c r="R16" i="15"/>
  <c r="I16" i="15"/>
  <c r="AA16" i="15"/>
  <c r="K16" i="16"/>
  <c r="U10" i="16"/>
  <c r="AB10" i="12"/>
  <c r="AB11" i="12"/>
  <c r="AB12" i="12"/>
  <c r="AB13" i="12"/>
  <c r="AB14" i="12"/>
  <c r="AB15" i="12"/>
  <c r="AB17" i="12"/>
  <c r="E15" i="30" s="1"/>
  <c r="AB9" i="12"/>
  <c r="AB10" i="11"/>
  <c r="AB11" i="11"/>
  <c r="AB12" i="11"/>
  <c r="AB13" i="11"/>
  <c r="AB14" i="11"/>
  <c r="AB15" i="11"/>
  <c r="AB16" i="11"/>
  <c r="E14" i="30" s="1"/>
  <c r="AB9" i="11"/>
  <c r="J9" i="11"/>
  <c r="K9" i="11"/>
  <c r="L9" i="11"/>
  <c r="M9" i="11"/>
  <c r="N9" i="11"/>
  <c r="O9" i="11"/>
  <c r="P9" i="11"/>
  <c r="R9" i="11"/>
  <c r="S9" i="11"/>
  <c r="T9" i="11"/>
  <c r="J10" i="11"/>
  <c r="K10" i="11"/>
  <c r="L10" i="11"/>
  <c r="M10" i="11"/>
  <c r="N10" i="11"/>
  <c r="O10" i="11"/>
  <c r="P10" i="11"/>
  <c r="R10" i="11"/>
  <c r="S10" i="11"/>
  <c r="T10" i="11"/>
  <c r="J11" i="11"/>
  <c r="K11" i="11"/>
  <c r="L11" i="11"/>
  <c r="M11" i="11"/>
  <c r="N11" i="11"/>
  <c r="O11" i="11"/>
  <c r="P11" i="11"/>
  <c r="R11" i="11"/>
  <c r="S11" i="11"/>
  <c r="T11" i="11"/>
  <c r="J12" i="11"/>
  <c r="K12" i="11"/>
  <c r="L12" i="11"/>
  <c r="M12" i="11"/>
  <c r="N12" i="11"/>
  <c r="O12" i="11"/>
  <c r="P12" i="11"/>
  <c r="R12" i="11"/>
  <c r="S12" i="11"/>
  <c r="T12" i="11"/>
  <c r="J13" i="11"/>
  <c r="K13" i="11"/>
  <c r="L13" i="11"/>
  <c r="M13" i="11"/>
  <c r="N13" i="11"/>
  <c r="O13" i="11"/>
  <c r="P13" i="11"/>
  <c r="R13" i="11"/>
  <c r="S13" i="11"/>
  <c r="T13" i="11"/>
  <c r="J14" i="11"/>
  <c r="K14" i="11"/>
  <c r="L14" i="11"/>
  <c r="M14" i="11"/>
  <c r="N14" i="11"/>
  <c r="O14" i="11"/>
  <c r="P14" i="11"/>
  <c r="R14" i="11"/>
  <c r="S14" i="11"/>
  <c r="T14" i="11"/>
  <c r="J15" i="11"/>
  <c r="K15" i="11"/>
  <c r="L15" i="11"/>
  <c r="M15" i="11"/>
  <c r="N15" i="11"/>
  <c r="O15" i="11"/>
  <c r="P15" i="11"/>
  <c r="R15" i="11"/>
  <c r="S15" i="11"/>
  <c r="T15" i="11"/>
  <c r="I11" i="11"/>
  <c r="I12" i="11"/>
  <c r="I13" i="11"/>
  <c r="I14" i="11"/>
  <c r="I15" i="11"/>
  <c r="V10" i="11"/>
  <c r="V11" i="11"/>
  <c r="AE11" i="11" s="1"/>
  <c r="V12" i="11"/>
  <c r="AE12" i="11" s="1"/>
  <c r="V13" i="11"/>
  <c r="AE13" i="11" s="1"/>
  <c r="AF13" i="11" s="1"/>
  <c r="V14" i="11"/>
  <c r="AE14" i="11" s="1"/>
  <c r="V15" i="11"/>
  <c r="AE15" i="11" s="1"/>
  <c r="V9" i="11"/>
  <c r="I10" i="11"/>
  <c r="I9" i="11"/>
  <c r="AA10" i="9"/>
  <c r="AA11" i="9"/>
  <c r="AA12" i="9"/>
  <c r="AA13" i="9"/>
  <c r="AA14" i="9"/>
  <c r="AA15" i="9"/>
  <c r="AA16" i="9"/>
  <c r="E12" i="30" s="1"/>
  <c r="AA9" i="9"/>
  <c r="AA10" i="10"/>
  <c r="AA11" i="10"/>
  <c r="AA12" i="10"/>
  <c r="AA13" i="10"/>
  <c r="AA14" i="10"/>
  <c r="AA15" i="10"/>
  <c r="AA16" i="10"/>
  <c r="E13" i="30" s="1"/>
  <c r="AA9" i="10"/>
  <c r="I9" i="10"/>
  <c r="J9" i="10"/>
  <c r="K9" i="10"/>
  <c r="L9" i="10"/>
  <c r="M9" i="10"/>
  <c r="N9" i="10"/>
  <c r="O9" i="10"/>
  <c r="Q9" i="10"/>
  <c r="R9" i="10"/>
  <c r="S9" i="10"/>
  <c r="I10" i="10"/>
  <c r="J10" i="10"/>
  <c r="K10" i="10"/>
  <c r="L10" i="10"/>
  <c r="M10" i="10"/>
  <c r="N10" i="10"/>
  <c r="O10" i="10"/>
  <c r="Q10" i="10"/>
  <c r="R10" i="10"/>
  <c r="S10" i="10"/>
  <c r="I11" i="10"/>
  <c r="J11" i="10"/>
  <c r="K11" i="10"/>
  <c r="L11" i="10"/>
  <c r="M11" i="10"/>
  <c r="N11" i="10"/>
  <c r="O11" i="10"/>
  <c r="Q11" i="10"/>
  <c r="R11" i="10"/>
  <c r="S11" i="10"/>
  <c r="I12" i="10"/>
  <c r="J12" i="10"/>
  <c r="K12" i="10"/>
  <c r="L12" i="10"/>
  <c r="M12" i="10"/>
  <c r="N12" i="10"/>
  <c r="O12" i="10"/>
  <c r="Q12" i="10"/>
  <c r="R12" i="10"/>
  <c r="S12" i="10"/>
  <c r="I13" i="10"/>
  <c r="J13" i="10"/>
  <c r="K13" i="10"/>
  <c r="L13" i="10"/>
  <c r="M13" i="10"/>
  <c r="N13" i="10"/>
  <c r="O13" i="10"/>
  <c r="Q13" i="10"/>
  <c r="R13" i="10"/>
  <c r="S13" i="10"/>
  <c r="I14" i="10"/>
  <c r="J14" i="10"/>
  <c r="K14" i="10"/>
  <c r="L14" i="10"/>
  <c r="M14" i="10"/>
  <c r="N14" i="10"/>
  <c r="O14" i="10"/>
  <c r="Q14" i="10"/>
  <c r="R14" i="10"/>
  <c r="S14" i="10"/>
  <c r="I15" i="10"/>
  <c r="J15" i="10"/>
  <c r="K15" i="10"/>
  <c r="L15" i="10"/>
  <c r="M15" i="10"/>
  <c r="N15" i="10"/>
  <c r="O15" i="10"/>
  <c r="Q15" i="10"/>
  <c r="R15" i="10"/>
  <c r="S15" i="10"/>
  <c r="H15" i="10"/>
  <c r="H10" i="10"/>
  <c r="H11" i="10"/>
  <c r="H12" i="10"/>
  <c r="H13" i="10"/>
  <c r="H14" i="10"/>
  <c r="H9" i="10"/>
  <c r="AD13" i="9"/>
  <c r="AD15" i="9"/>
  <c r="AD10" i="9"/>
  <c r="AD12" i="9"/>
  <c r="AD9" i="9"/>
  <c r="Y15" i="17"/>
  <c r="AA15" i="17" s="1"/>
  <c r="R15" i="16"/>
  <c r="S15" i="16" s="1"/>
  <c r="I9" i="9"/>
  <c r="J9" i="9"/>
  <c r="K9" i="9"/>
  <c r="L9" i="9"/>
  <c r="M9" i="9"/>
  <c r="N9" i="9"/>
  <c r="O9" i="9"/>
  <c r="Q9" i="9"/>
  <c r="R9" i="9"/>
  <c r="S9" i="9"/>
  <c r="I10" i="9"/>
  <c r="J10" i="9"/>
  <c r="K10" i="9"/>
  <c r="L10" i="9"/>
  <c r="M10" i="9"/>
  <c r="N10" i="9"/>
  <c r="O10" i="9"/>
  <c r="Q10" i="9"/>
  <c r="R10" i="9"/>
  <c r="S10" i="9"/>
  <c r="I11" i="9"/>
  <c r="J11" i="9"/>
  <c r="K11" i="9"/>
  <c r="L11" i="9"/>
  <c r="M11" i="9"/>
  <c r="N11" i="9"/>
  <c r="O11" i="9"/>
  <c r="Q11" i="9"/>
  <c r="R11" i="9"/>
  <c r="S11" i="9"/>
  <c r="I12" i="9"/>
  <c r="J12" i="9"/>
  <c r="K12" i="9"/>
  <c r="L12" i="9"/>
  <c r="M12" i="9"/>
  <c r="N12" i="9"/>
  <c r="O12" i="9"/>
  <c r="Q12" i="9"/>
  <c r="R12" i="9"/>
  <c r="S12" i="9"/>
  <c r="I13" i="9"/>
  <c r="J13" i="9"/>
  <c r="K13" i="9"/>
  <c r="L13" i="9"/>
  <c r="M13" i="9"/>
  <c r="N13" i="9"/>
  <c r="O13" i="9"/>
  <c r="Q13" i="9"/>
  <c r="R13" i="9"/>
  <c r="S13" i="9"/>
  <c r="I14" i="9"/>
  <c r="J14" i="9"/>
  <c r="K14" i="9"/>
  <c r="L14" i="9"/>
  <c r="M14" i="9"/>
  <c r="N14" i="9"/>
  <c r="O14" i="9"/>
  <c r="Q14" i="9"/>
  <c r="R14" i="9"/>
  <c r="S14" i="9"/>
  <c r="I15" i="9"/>
  <c r="J15" i="9"/>
  <c r="K15" i="9"/>
  <c r="L15" i="9"/>
  <c r="M15" i="9"/>
  <c r="N15" i="9"/>
  <c r="O15" i="9"/>
  <c r="Q15" i="9"/>
  <c r="R15" i="9"/>
  <c r="S15" i="9"/>
  <c r="H10" i="9"/>
  <c r="H11" i="9"/>
  <c r="H12" i="9"/>
  <c r="H13" i="9"/>
  <c r="H14" i="9"/>
  <c r="H15" i="9"/>
  <c r="H9" i="9"/>
  <c r="V15" i="8"/>
  <c r="AE15" i="8" s="1"/>
  <c r="AF15" i="8" s="1"/>
  <c r="V10" i="8"/>
  <c r="AE10" i="8" s="1"/>
  <c r="AF10" i="8" s="1"/>
  <c r="V11" i="8"/>
  <c r="AE11" i="8" s="1"/>
  <c r="AF11" i="8" s="1"/>
  <c r="V12" i="8"/>
  <c r="AE12" i="8" s="1"/>
  <c r="AF12" i="8" s="1"/>
  <c r="V13" i="8"/>
  <c r="AE13" i="8" s="1"/>
  <c r="AF13" i="8" s="1"/>
  <c r="V14" i="8"/>
  <c r="AE14" i="8" s="1"/>
  <c r="AF14" i="8" s="1"/>
  <c r="V9" i="8"/>
  <c r="AE9" i="8" s="1"/>
  <c r="I10" i="8"/>
  <c r="J10" i="8"/>
  <c r="K10" i="8"/>
  <c r="L10" i="8"/>
  <c r="M10" i="8"/>
  <c r="N10" i="8"/>
  <c r="O10" i="8"/>
  <c r="P10" i="8"/>
  <c r="R10" i="8"/>
  <c r="S10" i="8"/>
  <c r="T10" i="8"/>
  <c r="I11" i="8"/>
  <c r="J11" i="8"/>
  <c r="K11" i="8"/>
  <c r="L11" i="8"/>
  <c r="M11" i="8"/>
  <c r="N11" i="8"/>
  <c r="O11" i="8"/>
  <c r="P11" i="8"/>
  <c r="R11" i="8"/>
  <c r="S11" i="8"/>
  <c r="T11" i="8"/>
  <c r="I12" i="8"/>
  <c r="J12" i="8"/>
  <c r="K12" i="8"/>
  <c r="L12" i="8"/>
  <c r="M12" i="8"/>
  <c r="N12" i="8"/>
  <c r="O12" i="8"/>
  <c r="P12" i="8"/>
  <c r="R12" i="8"/>
  <c r="S12" i="8"/>
  <c r="T12" i="8"/>
  <c r="I13" i="8"/>
  <c r="J13" i="8"/>
  <c r="K13" i="8"/>
  <c r="L13" i="8"/>
  <c r="M13" i="8"/>
  <c r="N13" i="8"/>
  <c r="O13" i="8"/>
  <c r="P13" i="8"/>
  <c r="R13" i="8"/>
  <c r="S13" i="8"/>
  <c r="T13" i="8"/>
  <c r="I14" i="8"/>
  <c r="J14" i="8"/>
  <c r="K14" i="8"/>
  <c r="L14" i="8"/>
  <c r="M14" i="8"/>
  <c r="N14" i="8"/>
  <c r="O14" i="8"/>
  <c r="P14" i="8"/>
  <c r="R14" i="8"/>
  <c r="S14" i="8"/>
  <c r="T14" i="8"/>
  <c r="I15" i="8"/>
  <c r="J15" i="8"/>
  <c r="K15" i="8"/>
  <c r="L15" i="8"/>
  <c r="M15" i="8"/>
  <c r="N15" i="8"/>
  <c r="O15" i="8"/>
  <c r="P15" i="8"/>
  <c r="R15" i="8"/>
  <c r="S15" i="8"/>
  <c r="T15" i="8"/>
  <c r="J9" i="8"/>
  <c r="K9" i="8"/>
  <c r="L9" i="8"/>
  <c r="M9" i="8"/>
  <c r="N9" i="8"/>
  <c r="O9" i="8"/>
  <c r="P9" i="8"/>
  <c r="R9" i="8"/>
  <c r="S9" i="8"/>
  <c r="T9" i="8"/>
  <c r="I9" i="8"/>
  <c r="T16" i="16" l="1"/>
  <c r="U16" i="16" s="1"/>
  <c r="L16" i="16"/>
  <c r="AE9" i="11"/>
  <c r="V16" i="11"/>
  <c r="AE16" i="11" s="1"/>
  <c r="AF16" i="11" s="1"/>
  <c r="AH16" i="11" s="1"/>
  <c r="AI16" i="11" s="1"/>
  <c r="AH13" i="11"/>
  <c r="AI13" i="11" s="1"/>
  <c r="W10" i="16"/>
  <c r="X10" i="16" s="1"/>
  <c r="W11" i="16"/>
  <c r="X11" i="16" s="1"/>
  <c r="W15" i="16"/>
  <c r="X15" i="16" s="1"/>
  <c r="AH14" i="8"/>
  <c r="AI14" i="8" s="1"/>
  <c r="AH13" i="8"/>
  <c r="AI13" i="8" s="1"/>
  <c r="W14" i="16"/>
  <c r="X14" i="16" s="1"/>
  <c r="AH12" i="8"/>
  <c r="AI12" i="8" s="1"/>
  <c r="AH11" i="8"/>
  <c r="AI11" i="8" s="1"/>
  <c r="AH10" i="8"/>
  <c r="AI10" i="8" s="1"/>
  <c r="AH15" i="8"/>
  <c r="AI15" i="8" s="1"/>
  <c r="AE10" i="9"/>
  <c r="AF12" i="11"/>
  <c r="P16" i="11"/>
  <c r="O16" i="11"/>
  <c r="N16" i="11"/>
  <c r="M16" i="11"/>
  <c r="L16" i="11"/>
  <c r="K16" i="11"/>
  <c r="J16" i="11"/>
  <c r="I16" i="11"/>
  <c r="T16" i="11"/>
  <c r="S16" i="11"/>
  <c r="R16" i="11"/>
  <c r="S16" i="8"/>
  <c r="K16" i="9"/>
  <c r="R16" i="8"/>
  <c r="N16" i="10"/>
  <c r="H16" i="10"/>
  <c r="J16" i="8"/>
  <c r="I16" i="8"/>
  <c r="P16" i="8"/>
  <c r="O16" i="8"/>
  <c r="N16" i="8"/>
  <c r="M16" i="8"/>
  <c r="L16" i="8"/>
  <c r="K16" i="8"/>
  <c r="T16" i="8"/>
  <c r="J16" i="9"/>
  <c r="I16" i="9"/>
  <c r="S16" i="9"/>
  <c r="R16" i="9"/>
  <c r="Q16" i="9"/>
  <c r="O16" i="9"/>
  <c r="N16" i="9"/>
  <c r="H16" i="9"/>
  <c r="M16" i="9"/>
  <c r="L16" i="9"/>
  <c r="R16" i="10"/>
  <c r="Q16" i="10"/>
  <c r="O16" i="10"/>
  <c r="L16" i="10"/>
  <c r="M16" i="10"/>
  <c r="K16" i="10"/>
  <c r="J16" i="10"/>
  <c r="I16" i="10"/>
  <c r="S16" i="10"/>
  <c r="R15" i="20"/>
  <c r="S15" i="20" s="1"/>
  <c r="AA15" i="20"/>
  <c r="R15" i="17"/>
  <c r="S15" i="17" s="1"/>
  <c r="R15" i="18"/>
  <c r="S15" i="18" s="1"/>
  <c r="AA15" i="18"/>
  <c r="Z15" i="17"/>
  <c r="V16" i="8"/>
  <c r="AE16" i="8" s="1"/>
  <c r="AF16" i="8" s="1"/>
  <c r="AF14" i="11"/>
  <c r="AE10" i="11"/>
  <c r="AF10" i="11" s="1"/>
  <c r="AF15" i="11"/>
  <c r="AF11" i="11"/>
  <c r="AE15" i="9"/>
  <c r="AE13" i="9"/>
  <c r="AD14" i="9"/>
  <c r="AE14" i="9" s="1"/>
  <c r="AD11" i="9"/>
  <c r="AE12" i="9"/>
  <c r="AA15" i="16" l="1"/>
  <c r="AH10" i="11"/>
  <c r="AI10" i="11" s="1"/>
  <c r="W16" i="16"/>
  <c r="X16" i="16" s="1"/>
  <c r="AH12" i="11"/>
  <c r="AI12" i="11" s="1"/>
  <c r="AG12" i="9"/>
  <c r="AH12" i="9" s="1"/>
  <c r="AG14" i="9"/>
  <c r="AH14" i="9" s="1"/>
  <c r="AH16" i="8"/>
  <c r="AI16" i="8" s="1"/>
  <c r="AG10" i="9"/>
  <c r="AH10" i="9" s="1"/>
  <c r="AG13" i="9"/>
  <c r="AH13" i="9" s="1"/>
  <c r="Z15" i="16"/>
  <c r="AG15" i="9"/>
  <c r="AH15" i="9" s="1"/>
  <c r="AH14" i="11"/>
  <c r="AI14" i="11" s="1"/>
  <c r="AH11" i="11"/>
  <c r="AI11" i="11" s="1"/>
  <c r="AH15" i="11"/>
  <c r="AI15" i="11" s="1"/>
  <c r="Z15" i="18"/>
  <c r="Z15" i="20"/>
  <c r="AE11" i="9"/>
  <c r="AD16" i="9"/>
  <c r="AE16" i="9" s="1"/>
  <c r="AG16" i="9" l="1"/>
  <c r="AH16" i="9" s="1"/>
  <c r="AG11" i="9"/>
  <c r="AH11" i="9" s="1"/>
  <c r="AE10" i="7"/>
  <c r="AF10" i="7" s="1"/>
  <c r="AE11" i="7"/>
  <c r="AF11" i="7" s="1"/>
  <c r="AE12" i="7"/>
  <c r="AF12" i="7" s="1"/>
  <c r="AE13" i="7"/>
  <c r="AF13" i="7" s="1"/>
  <c r="AE14" i="7"/>
  <c r="AF14" i="7" s="1"/>
  <c r="AE15" i="7"/>
  <c r="AF15" i="7" s="1"/>
  <c r="AE9" i="7"/>
  <c r="J9" i="7"/>
  <c r="K9" i="7"/>
  <c r="L9" i="7"/>
  <c r="M9" i="7"/>
  <c r="N9" i="7"/>
  <c r="O9" i="7"/>
  <c r="P9" i="7"/>
  <c r="R9" i="7"/>
  <c r="S9" i="7"/>
  <c r="T9" i="7"/>
  <c r="J10" i="7"/>
  <c r="K10" i="7"/>
  <c r="L10" i="7"/>
  <c r="M10" i="7"/>
  <c r="N10" i="7"/>
  <c r="O10" i="7"/>
  <c r="P10" i="7"/>
  <c r="R10" i="7"/>
  <c r="S10" i="7"/>
  <c r="T10" i="7"/>
  <c r="J11" i="7"/>
  <c r="K11" i="7"/>
  <c r="L11" i="7"/>
  <c r="M11" i="7"/>
  <c r="N11" i="7"/>
  <c r="O11" i="7"/>
  <c r="P11" i="7"/>
  <c r="R11" i="7"/>
  <c r="S11" i="7"/>
  <c r="T11" i="7"/>
  <c r="J12" i="7"/>
  <c r="K12" i="7"/>
  <c r="L12" i="7"/>
  <c r="M12" i="7"/>
  <c r="N12" i="7"/>
  <c r="O12" i="7"/>
  <c r="P12" i="7"/>
  <c r="R12" i="7"/>
  <c r="S12" i="7"/>
  <c r="T12" i="7"/>
  <c r="J13" i="7"/>
  <c r="K13" i="7"/>
  <c r="L13" i="7"/>
  <c r="M13" i="7"/>
  <c r="N13" i="7"/>
  <c r="O13" i="7"/>
  <c r="P13" i="7"/>
  <c r="R13" i="7"/>
  <c r="S13" i="7"/>
  <c r="T13" i="7"/>
  <c r="J14" i="7"/>
  <c r="K14" i="7"/>
  <c r="L14" i="7"/>
  <c r="M14" i="7"/>
  <c r="N14" i="7"/>
  <c r="O14" i="7"/>
  <c r="P14" i="7"/>
  <c r="R14" i="7"/>
  <c r="S14" i="7"/>
  <c r="T14" i="7"/>
  <c r="J15" i="7"/>
  <c r="K15" i="7"/>
  <c r="L15" i="7"/>
  <c r="M15" i="7"/>
  <c r="N15" i="7"/>
  <c r="O15" i="7"/>
  <c r="P15" i="7"/>
  <c r="R15" i="7"/>
  <c r="S15" i="7"/>
  <c r="T15" i="7"/>
  <c r="I10" i="7"/>
  <c r="I11" i="7"/>
  <c r="I12" i="7"/>
  <c r="I13" i="7"/>
  <c r="I14" i="7"/>
  <c r="I15" i="7"/>
  <c r="I9" i="7"/>
  <c r="J10" i="6"/>
  <c r="K10" i="6"/>
  <c r="L10" i="6"/>
  <c r="M10" i="6"/>
  <c r="N10" i="6"/>
  <c r="O10" i="6"/>
  <c r="P10" i="6"/>
  <c r="R10" i="6"/>
  <c r="S10" i="6"/>
  <c r="T10" i="6"/>
  <c r="J11" i="6"/>
  <c r="K11" i="6"/>
  <c r="L11" i="6"/>
  <c r="M11" i="6"/>
  <c r="N11" i="6"/>
  <c r="O11" i="6"/>
  <c r="P11" i="6"/>
  <c r="R11" i="6"/>
  <c r="S11" i="6"/>
  <c r="T11" i="6"/>
  <c r="J12" i="6"/>
  <c r="K12" i="6"/>
  <c r="L12" i="6"/>
  <c r="M12" i="6"/>
  <c r="N12" i="6"/>
  <c r="O12" i="6"/>
  <c r="P12" i="6"/>
  <c r="R12" i="6"/>
  <c r="S12" i="6"/>
  <c r="T12" i="6"/>
  <c r="J13" i="6"/>
  <c r="K13" i="6"/>
  <c r="L13" i="6"/>
  <c r="M13" i="6"/>
  <c r="N13" i="6"/>
  <c r="O13" i="6"/>
  <c r="P13" i="6"/>
  <c r="R13" i="6"/>
  <c r="S13" i="6"/>
  <c r="T13" i="6"/>
  <c r="J14" i="6"/>
  <c r="K14" i="6"/>
  <c r="L14" i="6"/>
  <c r="M14" i="6"/>
  <c r="N14" i="6"/>
  <c r="O14" i="6"/>
  <c r="P14" i="6"/>
  <c r="R14" i="6"/>
  <c r="S14" i="6"/>
  <c r="T14" i="6"/>
  <c r="J15" i="6"/>
  <c r="K15" i="6"/>
  <c r="L15" i="6"/>
  <c r="M15" i="6"/>
  <c r="N15" i="6"/>
  <c r="O15" i="6"/>
  <c r="P15" i="6"/>
  <c r="R15" i="6"/>
  <c r="S15" i="6"/>
  <c r="T15" i="6"/>
  <c r="I11" i="6"/>
  <c r="I12" i="6"/>
  <c r="I13" i="6"/>
  <c r="I14" i="6"/>
  <c r="I15" i="6"/>
  <c r="J9" i="6"/>
  <c r="K9" i="6"/>
  <c r="L9" i="6"/>
  <c r="M9" i="6"/>
  <c r="N9" i="6"/>
  <c r="O9" i="6"/>
  <c r="P9" i="6"/>
  <c r="R9" i="6"/>
  <c r="S9" i="6"/>
  <c r="T9" i="6"/>
  <c r="I10" i="6"/>
  <c r="I9" i="6"/>
  <c r="V9" i="5"/>
  <c r="W9" i="5"/>
  <c r="X9" i="5"/>
  <c r="Y9" i="5"/>
  <c r="Z9" i="5"/>
  <c r="AA9" i="5"/>
  <c r="AB9" i="5"/>
  <c r="AD9" i="5"/>
  <c r="AE9" i="5"/>
  <c r="AF9" i="5"/>
  <c r="V10" i="5"/>
  <c r="W10" i="5"/>
  <c r="X10" i="5"/>
  <c r="Y10" i="5"/>
  <c r="Z10" i="5"/>
  <c r="AA10" i="5"/>
  <c r="AD10" i="5"/>
  <c r="AE10" i="5"/>
  <c r="V11" i="5"/>
  <c r="W11" i="5"/>
  <c r="X11" i="5"/>
  <c r="Y11" i="5"/>
  <c r="Z11" i="5"/>
  <c r="AA11" i="5"/>
  <c r="AD11" i="5"/>
  <c r="AE11" i="5"/>
  <c r="V12" i="5"/>
  <c r="W12" i="5"/>
  <c r="X12" i="5"/>
  <c r="Y12" i="5"/>
  <c r="Z12" i="5"/>
  <c r="AA12" i="5"/>
  <c r="AD12" i="5"/>
  <c r="AE12" i="5"/>
  <c r="V13" i="5"/>
  <c r="W13" i="5"/>
  <c r="X13" i="5"/>
  <c r="Y13" i="5"/>
  <c r="Z13" i="5"/>
  <c r="AA13" i="5"/>
  <c r="AD13" i="5"/>
  <c r="AE13" i="5"/>
  <c r="V14" i="5"/>
  <c r="W14" i="5"/>
  <c r="X14" i="5"/>
  <c r="Y14" i="5"/>
  <c r="Z14" i="5"/>
  <c r="AA14" i="5"/>
  <c r="AD14" i="5"/>
  <c r="AE14" i="5"/>
  <c r="V15" i="5"/>
  <c r="W15" i="5"/>
  <c r="X15" i="5"/>
  <c r="Y15" i="5"/>
  <c r="Z15" i="5"/>
  <c r="AA15" i="5"/>
  <c r="AD15" i="5"/>
  <c r="AE15" i="5"/>
  <c r="U10" i="5"/>
  <c r="U11" i="5"/>
  <c r="U12" i="5"/>
  <c r="U13" i="5"/>
  <c r="U14" i="5"/>
  <c r="U15" i="5"/>
  <c r="U9" i="5"/>
  <c r="R9" i="5"/>
  <c r="S9" i="5"/>
  <c r="R10" i="5"/>
  <c r="R11" i="5"/>
  <c r="R12" i="5"/>
  <c r="R13" i="5"/>
  <c r="R14" i="5"/>
  <c r="R15" i="5"/>
  <c r="I9" i="5"/>
  <c r="J9" i="5"/>
  <c r="K9" i="5"/>
  <c r="L9" i="5"/>
  <c r="M9" i="5"/>
  <c r="N9" i="5"/>
  <c r="O9" i="5"/>
  <c r="Q9" i="5"/>
  <c r="I10" i="5"/>
  <c r="J10" i="5"/>
  <c r="K10" i="5"/>
  <c r="L10" i="5"/>
  <c r="M10" i="5"/>
  <c r="N10" i="5"/>
  <c r="Q10" i="5"/>
  <c r="I11" i="5"/>
  <c r="J11" i="5"/>
  <c r="K11" i="5"/>
  <c r="L11" i="5"/>
  <c r="M11" i="5"/>
  <c r="N11" i="5"/>
  <c r="Q11" i="5"/>
  <c r="I12" i="5"/>
  <c r="J12" i="5"/>
  <c r="K12" i="5"/>
  <c r="L12" i="5"/>
  <c r="M12" i="5"/>
  <c r="N12" i="5"/>
  <c r="Q12" i="5"/>
  <c r="I13" i="5"/>
  <c r="J13" i="5"/>
  <c r="K13" i="5"/>
  <c r="L13" i="5"/>
  <c r="M13" i="5"/>
  <c r="N13" i="5"/>
  <c r="Q13" i="5"/>
  <c r="I14" i="5"/>
  <c r="J14" i="5"/>
  <c r="K14" i="5"/>
  <c r="L14" i="5"/>
  <c r="M14" i="5"/>
  <c r="N14" i="5"/>
  <c r="Q14" i="5"/>
  <c r="I15" i="5"/>
  <c r="J15" i="5"/>
  <c r="K15" i="5"/>
  <c r="L15" i="5"/>
  <c r="M15" i="5"/>
  <c r="N15" i="5"/>
  <c r="Q15" i="5"/>
  <c r="H10" i="5"/>
  <c r="H11" i="5"/>
  <c r="H12" i="5"/>
  <c r="H13" i="5"/>
  <c r="H14" i="5"/>
  <c r="H15" i="5"/>
  <c r="H9" i="5"/>
  <c r="U10" i="4"/>
  <c r="AD10" i="4" s="1"/>
  <c r="AE10" i="4" s="1"/>
  <c r="AG10" i="4" s="1"/>
  <c r="AH10" i="4" s="1"/>
  <c r="U11" i="4"/>
  <c r="AD11" i="4" s="1"/>
  <c r="AE11" i="4" s="1"/>
  <c r="AG11" i="4" s="1"/>
  <c r="AH11" i="4" s="1"/>
  <c r="U12" i="4"/>
  <c r="AD12" i="4" s="1"/>
  <c r="AE12" i="4" s="1"/>
  <c r="AG12" i="4" s="1"/>
  <c r="AH12" i="4" s="1"/>
  <c r="U13" i="4"/>
  <c r="AD13" i="4" s="1"/>
  <c r="AE13" i="4" s="1"/>
  <c r="AG13" i="4" s="1"/>
  <c r="AH13" i="4" s="1"/>
  <c r="U14" i="4"/>
  <c r="AD14" i="4" s="1"/>
  <c r="AE14" i="4" s="1"/>
  <c r="AG14" i="4" s="1"/>
  <c r="AH14" i="4" s="1"/>
  <c r="U15" i="4"/>
  <c r="AD15" i="4" s="1"/>
  <c r="AE15" i="4" s="1"/>
  <c r="AG15" i="4" s="1"/>
  <c r="AH15" i="4" s="1"/>
  <c r="U9" i="4"/>
  <c r="H9" i="4"/>
  <c r="I9" i="4"/>
  <c r="J9" i="4"/>
  <c r="K9" i="4"/>
  <c r="L9" i="4"/>
  <c r="M9" i="4"/>
  <c r="N9" i="4"/>
  <c r="O9" i="4"/>
  <c r="H10" i="4"/>
  <c r="I10" i="4"/>
  <c r="J10" i="4"/>
  <c r="K10" i="4"/>
  <c r="L10" i="4"/>
  <c r="M10" i="4"/>
  <c r="N10" i="4"/>
  <c r="H11" i="4"/>
  <c r="I11" i="4"/>
  <c r="J11" i="4"/>
  <c r="K11" i="4"/>
  <c r="L11" i="4"/>
  <c r="M11" i="4"/>
  <c r="N11" i="4"/>
  <c r="H12" i="4"/>
  <c r="I12" i="4"/>
  <c r="J12" i="4"/>
  <c r="K12" i="4"/>
  <c r="L12" i="4"/>
  <c r="M12" i="4"/>
  <c r="N12" i="4"/>
  <c r="H13" i="4"/>
  <c r="I13" i="4"/>
  <c r="J13" i="4"/>
  <c r="K13" i="4"/>
  <c r="L13" i="4"/>
  <c r="M13" i="4"/>
  <c r="N13" i="4"/>
  <c r="H14" i="4"/>
  <c r="I14" i="4"/>
  <c r="J14" i="4"/>
  <c r="K14" i="4"/>
  <c r="L14" i="4"/>
  <c r="M14" i="4"/>
  <c r="N14" i="4"/>
  <c r="H15" i="4"/>
  <c r="I15" i="4"/>
  <c r="J15" i="4"/>
  <c r="K15" i="4"/>
  <c r="L15" i="4"/>
  <c r="M15" i="4"/>
  <c r="N15" i="4"/>
  <c r="O16" i="6" l="1"/>
  <c r="AH15" i="7"/>
  <c r="AI15" i="7" s="1"/>
  <c r="AH14" i="7"/>
  <c r="AI14" i="7" s="1"/>
  <c r="AH13" i="7"/>
  <c r="AI13" i="7" s="1"/>
  <c r="AH12" i="7"/>
  <c r="AI12" i="7" s="1"/>
  <c r="AH11" i="7"/>
  <c r="AI11" i="7" s="1"/>
  <c r="AH10" i="7"/>
  <c r="AI10" i="7" s="1"/>
  <c r="AD9" i="4"/>
  <c r="AE9" i="4" s="1"/>
  <c r="U16" i="4"/>
  <c r="AD16" i="4" s="1"/>
  <c r="Y16" i="5"/>
  <c r="J16" i="4"/>
  <c r="M16" i="5"/>
  <c r="Z16" i="5"/>
  <c r="AD16" i="5"/>
  <c r="I16" i="5"/>
  <c r="H16" i="4"/>
  <c r="R16" i="5"/>
  <c r="V16" i="5"/>
  <c r="N16" i="4"/>
  <c r="N16" i="5"/>
  <c r="M16" i="4"/>
  <c r="L16" i="5"/>
  <c r="Q16" i="5"/>
  <c r="W16" i="5"/>
  <c r="X16" i="5"/>
  <c r="L16" i="4"/>
  <c r="K16" i="5"/>
  <c r="K16" i="4"/>
  <c r="J16" i="5"/>
  <c r="AE16" i="5"/>
  <c r="I16" i="4"/>
  <c r="AA16" i="5"/>
  <c r="S16" i="6"/>
  <c r="R16" i="6"/>
  <c r="P16" i="6"/>
  <c r="I16" i="7"/>
  <c r="N16" i="6"/>
  <c r="M16" i="6"/>
  <c r="L16" i="6"/>
  <c r="K16" i="6"/>
  <c r="J16" i="6"/>
  <c r="I16" i="6"/>
  <c r="T16" i="6"/>
  <c r="N16" i="7"/>
  <c r="M16" i="7"/>
  <c r="K16" i="7"/>
  <c r="L16" i="7"/>
  <c r="J16" i="7"/>
  <c r="O16" i="7"/>
  <c r="R16" i="7"/>
  <c r="T16" i="7"/>
  <c r="S16" i="7"/>
  <c r="P16" i="7"/>
  <c r="U16" i="5"/>
  <c r="H16" i="5"/>
  <c r="Y13" i="27" l="1"/>
  <c r="Z12" i="27"/>
  <c r="V15" i="12" s="1"/>
  <c r="AE15" i="12" s="1"/>
  <c r="AF15" i="12" s="1"/>
  <c r="AH15" i="12" s="1"/>
  <c r="W15" i="27"/>
  <c r="U12" i="27"/>
  <c r="U11" i="27"/>
  <c r="U10" i="27"/>
  <c r="U9" i="27"/>
  <c r="U8" i="27"/>
  <c r="U7" i="27"/>
  <c r="U6" i="27"/>
  <c r="U9" i="10" l="1"/>
  <c r="U13" i="27"/>
  <c r="U15" i="27" s="1"/>
  <c r="U10" i="10"/>
  <c r="AD10" i="10" s="1"/>
  <c r="AE10" i="10" s="1"/>
  <c r="U11" i="10"/>
  <c r="AD11" i="10" s="1"/>
  <c r="AE11" i="10" s="1"/>
  <c r="U12" i="10"/>
  <c r="U13" i="10"/>
  <c r="AD13" i="10" s="1"/>
  <c r="AE13" i="10" s="1"/>
  <c r="U14" i="10"/>
  <c r="AD14" i="10" s="1"/>
  <c r="AE14" i="10" s="1"/>
  <c r="U15" i="10"/>
  <c r="AD15" i="10" s="1"/>
  <c r="AE15" i="10" s="1"/>
  <c r="AD9" i="10"/>
  <c r="AE9" i="10" s="1"/>
  <c r="L12" i="27"/>
  <c r="K15" i="27"/>
  <c r="J15" i="27"/>
  <c r="Q15" i="27"/>
  <c r="R15" i="27"/>
  <c r="S15" i="27"/>
  <c r="T15" i="27"/>
  <c r="V15" i="27"/>
  <c r="X15" i="27"/>
  <c r="Y15" i="27"/>
  <c r="AA15" i="27"/>
  <c r="AB15" i="27"/>
  <c r="AC15" i="27"/>
  <c r="AD15" i="27"/>
  <c r="AE15" i="27"/>
  <c r="AF15" i="27"/>
  <c r="AG15" i="27"/>
  <c r="AI15" i="27"/>
  <c r="AJ15" i="27"/>
  <c r="AK15" i="27"/>
  <c r="AL15" i="27"/>
  <c r="AM15" i="27"/>
  <c r="AO15" i="27"/>
  <c r="AP15" i="27"/>
  <c r="AQ15" i="27"/>
  <c r="AR15" i="27"/>
  <c r="G12" i="27"/>
  <c r="V15" i="6" s="1"/>
  <c r="AE15" i="6" s="1"/>
  <c r="AF15" i="6" s="1"/>
  <c r="E13" i="27"/>
  <c r="E15" i="27" s="1"/>
  <c r="AH15" i="6" l="1"/>
  <c r="AI15" i="6" s="1"/>
  <c r="AG14" i="10"/>
  <c r="AH14" i="10" s="1"/>
  <c r="AG15" i="10"/>
  <c r="AH15" i="10" s="1"/>
  <c r="AG11" i="10"/>
  <c r="AH11" i="10" s="1"/>
  <c r="AG9" i="10"/>
  <c r="AH9" i="10" s="1"/>
  <c r="AG13" i="10"/>
  <c r="AH13" i="10" s="1"/>
  <c r="AG10" i="10"/>
  <c r="AH10" i="10" s="1"/>
  <c r="U16" i="10"/>
  <c r="AD16" i="10" s="1"/>
  <c r="AE16" i="10" s="1"/>
  <c r="AD12" i="10"/>
  <c r="AE12" i="10" s="1"/>
  <c r="I15" i="27"/>
  <c r="AE16" i="7"/>
  <c r="AF16" i="7" s="1"/>
  <c r="GR7" i="25"/>
  <c r="GD7" i="25"/>
  <c r="FP7" i="25"/>
  <c r="FB7" i="25"/>
  <c r="EN7" i="25"/>
  <c r="CX7" i="25"/>
  <c r="CJ7" i="25"/>
  <c r="AS10" i="12" s="1"/>
  <c r="BV7" i="25"/>
  <c r="BH7" i="25"/>
  <c r="AT7" i="25"/>
  <c r="GR8" i="25"/>
  <c r="GD8" i="25"/>
  <c r="FP8" i="25"/>
  <c r="FB8" i="25"/>
  <c r="EN8" i="25"/>
  <c r="CJ8" i="25"/>
  <c r="AS11" i="12" s="1"/>
  <c r="BV8" i="25"/>
  <c r="AR11" i="12" s="1"/>
  <c r="BH8" i="25"/>
  <c r="AT8" i="25"/>
  <c r="GR9" i="25"/>
  <c r="GD9" i="25"/>
  <c r="FP9" i="25"/>
  <c r="FB9" i="25"/>
  <c r="EN9" i="25"/>
  <c r="CJ9" i="25"/>
  <c r="AS12" i="12" s="1"/>
  <c r="BV9" i="25"/>
  <c r="AR12" i="12" s="1"/>
  <c r="BU12" i="12" s="1"/>
  <c r="Q12" i="12" s="1"/>
  <c r="BH9" i="25"/>
  <c r="AT9" i="25"/>
  <c r="GR10" i="25"/>
  <c r="GD10" i="25"/>
  <c r="FP10" i="25"/>
  <c r="FB10" i="25"/>
  <c r="EN10" i="25"/>
  <c r="CJ10" i="25"/>
  <c r="BV10" i="25"/>
  <c r="AR13" i="12" s="1"/>
  <c r="BH10" i="25"/>
  <c r="AT10" i="25"/>
  <c r="GR11" i="25"/>
  <c r="GD11" i="25"/>
  <c r="FP11" i="25"/>
  <c r="FB11" i="25"/>
  <c r="EN11" i="25"/>
  <c r="CJ11" i="25"/>
  <c r="AS14" i="12" s="1"/>
  <c r="BV11" i="25"/>
  <c r="AR14" i="12" s="1"/>
  <c r="BU14" i="12" s="1"/>
  <c r="Q14" i="12" s="1"/>
  <c r="U14" i="12" s="1"/>
  <c r="BH11" i="25"/>
  <c r="AT11" i="25"/>
  <c r="GR12" i="25"/>
  <c r="GD12" i="25"/>
  <c r="FP12" i="25"/>
  <c r="FB12" i="25"/>
  <c r="EN12" i="25"/>
  <c r="CJ12" i="25"/>
  <c r="AS15" i="12" s="1"/>
  <c r="BV12" i="25"/>
  <c r="AR15" i="12" s="1"/>
  <c r="BH12" i="25"/>
  <c r="AT12" i="25"/>
  <c r="DY12" i="24"/>
  <c r="CI12" i="24"/>
  <c r="AS12" i="24"/>
  <c r="DY11" i="24"/>
  <c r="CI11" i="24"/>
  <c r="AS11" i="24"/>
  <c r="DY10" i="24"/>
  <c r="CI10" i="24"/>
  <c r="AS10" i="24"/>
  <c r="DY9" i="24"/>
  <c r="CI9" i="24"/>
  <c r="AS9" i="24"/>
  <c r="DY8" i="24"/>
  <c r="CI8" i="24"/>
  <c r="AS8" i="24"/>
  <c r="DY7" i="24"/>
  <c r="CI7" i="24"/>
  <c r="AS7" i="24"/>
  <c r="BU11" i="12" l="1"/>
  <c r="Q11" i="12" s="1"/>
  <c r="U11" i="12" s="1"/>
  <c r="BU15" i="12"/>
  <c r="Q15" i="12" s="1"/>
  <c r="U15" i="12" s="1"/>
  <c r="U12" i="12"/>
  <c r="BT14" i="12"/>
  <c r="N14" i="12" s="1"/>
  <c r="U14" i="13" s="1"/>
  <c r="BT15" i="12"/>
  <c r="N15" i="12" s="1"/>
  <c r="U15" i="13" s="1"/>
  <c r="BT11" i="12"/>
  <c r="N11" i="12" s="1"/>
  <c r="U11" i="13" s="1"/>
  <c r="AG15" i="12"/>
  <c r="W15" i="12"/>
  <c r="AG14" i="12"/>
  <c r="BT12" i="12"/>
  <c r="N12" i="12" s="1"/>
  <c r="U12" i="13" s="1"/>
  <c r="AG11" i="12"/>
  <c r="AG12" i="10"/>
  <c r="AH12" i="10" s="1"/>
  <c r="AH16" i="7"/>
  <c r="AI16" i="7" s="1"/>
  <c r="AG16" i="10"/>
  <c r="AH16" i="10" s="1"/>
  <c r="AE9" i="24"/>
  <c r="AE11" i="24"/>
  <c r="Q8" i="24"/>
  <c r="Q10" i="24"/>
  <c r="Q12" i="24"/>
  <c r="AE8" i="24"/>
  <c r="AE10" i="24"/>
  <c r="AE12" i="24"/>
  <c r="AE7" i="24"/>
  <c r="Q7" i="24"/>
  <c r="Q9" i="24"/>
  <c r="Q11" i="24"/>
  <c r="P14" i="9"/>
  <c r="T14" i="9" s="1"/>
  <c r="AF14" i="9" s="1"/>
  <c r="AB14" i="9" s="1"/>
  <c r="AC14" i="9" s="1"/>
  <c r="CN11" i="23"/>
  <c r="AS13" i="12"/>
  <c r="BT13" i="12" s="1"/>
  <c r="N13" i="12" s="1"/>
  <c r="U13" i="13" s="1"/>
  <c r="Q12" i="11"/>
  <c r="U12" i="11" s="1"/>
  <c r="AJ12" i="11" s="1"/>
  <c r="AL12" i="11" s="1"/>
  <c r="CX9" i="25"/>
  <c r="Q11" i="19"/>
  <c r="U11" i="19" s="1"/>
  <c r="AG11" i="19" s="1"/>
  <c r="AC11" i="19" s="1"/>
  <c r="AD11" i="19" s="1"/>
  <c r="DL8" i="25"/>
  <c r="Q11" i="8"/>
  <c r="U11" i="8" s="1"/>
  <c r="W11" i="8" s="1"/>
  <c r="AX8" i="23"/>
  <c r="Q13" i="7"/>
  <c r="U13" i="7" s="1"/>
  <c r="AJ13" i="7" s="1"/>
  <c r="AL13" i="7" s="1"/>
  <c r="Q10" i="23"/>
  <c r="Q14" i="6"/>
  <c r="U14" i="6" s="1"/>
  <c r="AJ14" i="6" s="1"/>
  <c r="DB11" i="23"/>
  <c r="Q13" i="11"/>
  <c r="U13" i="11" s="1"/>
  <c r="AJ13" i="11" s="1"/>
  <c r="AL13" i="11" s="1"/>
  <c r="CX10" i="25"/>
  <c r="Q12" i="19"/>
  <c r="U12" i="19" s="1"/>
  <c r="AG12" i="19" s="1"/>
  <c r="AC12" i="19" s="1"/>
  <c r="AD12" i="19" s="1"/>
  <c r="DL9" i="25"/>
  <c r="Q13" i="19"/>
  <c r="U13" i="19" s="1"/>
  <c r="AG13" i="19" s="1"/>
  <c r="AC13" i="19" s="1"/>
  <c r="AD13" i="19" s="1"/>
  <c r="DL10" i="25"/>
  <c r="P13" i="15"/>
  <c r="T13" i="15" s="1"/>
  <c r="BL10" i="23"/>
  <c r="Q15" i="11"/>
  <c r="U15" i="11" s="1"/>
  <c r="AG15" i="11" s="1"/>
  <c r="AC15" i="11" s="1"/>
  <c r="AD15" i="11" s="1"/>
  <c r="CX12" i="25"/>
  <c r="Q14" i="19"/>
  <c r="U14" i="19" s="1"/>
  <c r="AG14" i="19" s="1"/>
  <c r="AC14" i="19" s="1"/>
  <c r="AD14" i="19" s="1"/>
  <c r="DL11" i="25"/>
  <c r="Q13" i="8"/>
  <c r="U13" i="8" s="1"/>
  <c r="W13" i="8" s="1"/>
  <c r="AX10" i="23"/>
  <c r="Q9" i="6"/>
  <c r="U9" i="6" s="1"/>
  <c r="CX13" i="23"/>
  <c r="DB6" i="23"/>
  <c r="Q15" i="19"/>
  <c r="U15" i="19" s="1"/>
  <c r="W15" i="19" s="1"/>
  <c r="DL12" i="25"/>
  <c r="P11" i="15"/>
  <c r="T11" i="15" s="1"/>
  <c r="AR11" i="15" s="1"/>
  <c r="BL8" i="23"/>
  <c r="Q11" i="6"/>
  <c r="U11" i="6" s="1"/>
  <c r="AG11" i="6" s="1"/>
  <c r="DB8" i="23"/>
  <c r="AC11" i="15"/>
  <c r="AG11" i="15" s="1"/>
  <c r="AP11" i="15" s="1"/>
  <c r="BZ8" i="23"/>
  <c r="Q15" i="7"/>
  <c r="U15" i="7" s="1"/>
  <c r="AG15" i="7" s="1"/>
  <c r="AC15" i="7" s="1"/>
  <c r="AD15" i="7" s="1"/>
  <c r="Q12" i="23"/>
  <c r="Q15" i="8"/>
  <c r="U15" i="8" s="1"/>
  <c r="AG15" i="8" s="1"/>
  <c r="AC15" i="8" s="1"/>
  <c r="AD15" i="8" s="1"/>
  <c r="AX12" i="23"/>
  <c r="Q10" i="8"/>
  <c r="U10" i="8" s="1"/>
  <c r="AG10" i="8" s="1"/>
  <c r="AC10" i="8" s="1"/>
  <c r="AD10" i="8" s="1"/>
  <c r="AX7" i="23"/>
  <c r="P11" i="10"/>
  <c r="DO8" i="23"/>
  <c r="Q13" i="6"/>
  <c r="U13" i="6" s="1"/>
  <c r="AG13" i="6" s="1"/>
  <c r="DB10" i="23"/>
  <c r="AC15" i="15"/>
  <c r="AG15" i="15" s="1"/>
  <c r="AP15" i="15" s="1"/>
  <c r="BZ12" i="23"/>
  <c r="P11" i="9"/>
  <c r="T11" i="9" s="1"/>
  <c r="AF11" i="9" s="1"/>
  <c r="AB11" i="9" s="1"/>
  <c r="AC11" i="9" s="1"/>
  <c r="CN8" i="23"/>
  <c r="AC13" i="15"/>
  <c r="AG13" i="15" s="1"/>
  <c r="AP13" i="15" s="1"/>
  <c r="AQ13" i="15" s="1"/>
  <c r="BZ10" i="23"/>
  <c r="Q10" i="7"/>
  <c r="U10" i="7" s="1"/>
  <c r="AJ10" i="7" s="1"/>
  <c r="AL10" i="7" s="1"/>
  <c r="Q7" i="23"/>
  <c r="P13" i="9"/>
  <c r="T13" i="9" s="1"/>
  <c r="AI13" i="9" s="1"/>
  <c r="AK13" i="9" s="1"/>
  <c r="CN10" i="23"/>
  <c r="P15" i="15"/>
  <c r="T15" i="15" s="1"/>
  <c r="AU15" i="15" s="1"/>
  <c r="BL12" i="23"/>
  <c r="P10" i="15"/>
  <c r="T10" i="15" s="1"/>
  <c r="AU10" i="15" s="1"/>
  <c r="BL7" i="23"/>
  <c r="Q12" i="8"/>
  <c r="U12" i="8" s="1"/>
  <c r="W12" i="8" s="1"/>
  <c r="AX9" i="23"/>
  <c r="P13" i="10"/>
  <c r="DO10" i="23"/>
  <c r="P15" i="9"/>
  <c r="T15" i="9" s="1"/>
  <c r="AF15" i="9" s="1"/>
  <c r="AB15" i="9" s="1"/>
  <c r="AC15" i="9" s="1"/>
  <c r="CN12" i="23"/>
  <c r="Q14" i="11"/>
  <c r="U14" i="11" s="1"/>
  <c r="W14" i="11" s="1"/>
  <c r="CX11" i="25"/>
  <c r="AC10" i="15"/>
  <c r="AG10" i="15" s="1"/>
  <c r="AP10" i="15" s="1"/>
  <c r="AQ10" i="15" s="1"/>
  <c r="BZ7" i="23"/>
  <c r="P12" i="15"/>
  <c r="T12" i="15" s="1"/>
  <c r="AR12" i="15" s="1"/>
  <c r="BL9" i="23"/>
  <c r="Q14" i="7"/>
  <c r="U14" i="7" s="1"/>
  <c r="AJ14" i="7" s="1"/>
  <c r="AL14" i="7" s="1"/>
  <c r="Q11" i="23"/>
  <c r="Q15" i="6"/>
  <c r="U15" i="6" s="1"/>
  <c r="AJ15" i="6" s="1"/>
  <c r="AL15" i="6" s="1"/>
  <c r="DB12" i="23"/>
  <c r="AR10" i="12"/>
  <c r="P12" i="10"/>
  <c r="DO9" i="23"/>
  <c r="P15" i="10"/>
  <c r="DO12" i="23"/>
  <c r="Q14" i="8"/>
  <c r="U14" i="8" s="1"/>
  <c r="W14" i="8" s="1"/>
  <c r="AX11" i="23"/>
  <c r="Q10" i="6"/>
  <c r="U10" i="6" s="1"/>
  <c r="AG10" i="6" s="1"/>
  <c r="DB7" i="23"/>
  <c r="P12" i="9"/>
  <c r="T12" i="9" s="1"/>
  <c r="V12" i="9" s="1"/>
  <c r="CN9" i="23"/>
  <c r="P14" i="15"/>
  <c r="T14" i="15" s="1"/>
  <c r="AR14" i="15" s="1"/>
  <c r="BL11" i="23"/>
  <c r="Q12" i="7"/>
  <c r="U12" i="7" s="1"/>
  <c r="W12" i="7" s="1"/>
  <c r="Q9" i="23"/>
  <c r="Q11" i="7"/>
  <c r="U11" i="7" s="1"/>
  <c r="AJ11" i="7" s="1"/>
  <c r="AL11" i="7" s="1"/>
  <c r="Q8" i="23"/>
  <c r="P14" i="10"/>
  <c r="T14" i="10" s="1"/>
  <c r="AF14" i="10" s="1"/>
  <c r="AB14" i="10" s="1"/>
  <c r="AC14" i="10" s="1"/>
  <c r="DO11" i="23"/>
  <c r="P10" i="9"/>
  <c r="T10" i="9" s="1"/>
  <c r="V10" i="9" s="1"/>
  <c r="CN7" i="23"/>
  <c r="AC12" i="15"/>
  <c r="AG12" i="15" s="1"/>
  <c r="AP12" i="15" s="1"/>
  <c r="AQ12" i="15" s="1"/>
  <c r="BZ9" i="23"/>
  <c r="P10" i="10"/>
  <c r="DO7" i="23"/>
  <c r="Q12" i="6"/>
  <c r="U12" i="6" s="1"/>
  <c r="AJ12" i="6" s="1"/>
  <c r="DB9" i="23"/>
  <c r="AC14" i="15"/>
  <c r="AG14" i="15" s="1"/>
  <c r="BZ11" i="23"/>
  <c r="M13" i="24"/>
  <c r="Q11" i="11"/>
  <c r="U11" i="11" s="1"/>
  <c r="W11" i="11" s="1"/>
  <c r="CX8" i="25"/>
  <c r="Q10" i="19"/>
  <c r="U10" i="19" s="1"/>
  <c r="AJ10" i="19" s="1"/>
  <c r="AL10" i="19" s="1"/>
  <c r="DL7" i="25"/>
  <c r="R10" i="20"/>
  <c r="S10" i="20" s="1"/>
  <c r="AA10" i="20"/>
  <c r="R13" i="16"/>
  <c r="S13" i="16" s="1"/>
  <c r="AA13" i="16"/>
  <c r="R11" i="16"/>
  <c r="S11" i="16" s="1"/>
  <c r="AA11" i="16"/>
  <c r="R13" i="20"/>
  <c r="S13" i="20" s="1"/>
  <c r="AA13" i="20"/>
  <c r="Y12" i="17"/>
  <c r="Y14" i="17"/>
  <c r="Y10" i="17"/>
  <c r="R12" i="16"/>
  <c r="S12" i="16" s="1"/>
  <c r="AA12" i="16"/>
  <c r="R14" i="16"/>
  <c r="S14" i="16" s="1"/>
  <c r="AA14" i="16"/>
  <c r="R10" i="16"/>
  <c r="S10" i="16" s="1"/>
  <c r="AA10" i="16"/>
  <c r="R12" i="20"/>
  <c r="S12" i="20" s="1"/>
  <c r="AA12" i="20"/>
  <c r="R14" i="20"/>
  <c r="S14" i="20" s="1"/>
  <c r="AA14" i="20"/>
  <c r="Y13" i="17"/>
  <c r="Y11" i="17"/>
  <c r="Q10" i="11"/>
  <c r="U10" i="11" s="1"/>
  <c r="P11" i="4"/>
  <c r="P11" i="5"/>
  <c r="AC11" i="5"/>
  <c r="P13" i="5"/>
  <c r="P13" i="4"/>
  <c r="AC13" i="5"/>
  <c r="P15" i="4"/>
  <c r="P15" i="5"/>
  <c r="AC15" i="5"/>
  <c r="AC10" i="5"/>
  <c r="P10" i="5"/>
  <c r="P10" i="4"/>
  <c r="P12" i="4"/>
  <c r="P12" i="5"/>
  <c r="AC12" i="5"/>
  <c r="P14" i="5"/>
  <c r="P14" i="4"/>
  <c r="AC14" i="5"/>
  <c r="BT10" i="12" l="1"/>
  <c r="N10" i="12" s="1"/>
  <c r="U10" i="13" s="1"/>
  <c r="BU10" i="12"/>
  <c r="Q10" i="12" s="1"/>
  <c r="BU13" i="12"/>
  <c r="Q13" i="12" s="1"/>
  <c r="U13" i="12" s="1"/>
  <c r="AG12" i="12"/>
  <c r="AG10" i="12"/>
  <c r="AG13" i="12"/>
  <c r="W14" i="19"/>
  <c r="AI14" i="9"/>
  <c r="AK14" i="9" s="1"/>
  <c r="AS10" i="15"/>
  <c r="AT10" i="15" s="1"/>
  <c r="AW10" i="15" s="1"/>
  <c r="AS12" i="15"/>
  <c r="AT12" i="15" s="1"/>
  <c r="AS13" i="15"/>
  <c r="AT13" i="15" s="1"/>
  <c r="AG12" i="11"/>
  <c r="AC12" i="11" s="1"/>
  <c r="AD12" i="11" s="1"/>
  <c r="AJ14" i="19"/>
  <c r="AL14" i="19" s="1"/>
  <c r="V14" i="9"/>
  <c r="W15" i="8"/>
  <c r="AH14" i="15"/>
  <c r="AJ11" i="8"/>
  <c r="AU12" i="15"/>
  <c r="AG11" i="8"/>
  <c r="AC11" i="8" s="1"/>
  <c r="AD11" i="8" s="1"/>
  <c r="AI11" i="9"/>
  <c r="AK11" i="9" s="1"/>
  <c r="AG14" i="8"/>
  <c r="AC14" i="8" s="1"/>
  <c r="AD14" i="8" s="1"/>
  <c r="W13" i="11"/>
  <c r="AG14" i="6"/>
  <c r="AG13" i="11"/>
  <c r="AC13" i="11" s="1"/>
  <c r="AD13" i="11" s="1"/>
  <c r="AI14" i="10"/>
  <c r="W15" i="6"/>
  <c r="AJ15" i="8"/>
  <c r="AJ10" i="8"/>
  <c r="AL10" i="8" s="1"/>
  <c r="W10" i="8"/>
  <c r="AJ11" i="19"/>
  <c r="AL11" i="19" s="1"/>
  <c r="W11" i="19"/>
  <c r="AG15" i="19"/>
  <c r="AC15" i="19" s="1"/>
  <c r="AD15" i="19" s="1"/>
  <c r="AJ15" i="19"/>
  <c r="AJ13" i="19"/>
  <c r="AL13" i="19" s="1"/>
  <c r="W13" i="19"/>
  <c r="W12" i="19"/>
  <c r="V14" i="10"/>
  <c r="AG12" i="8"/>
  <c r="AC12" i="8" s="1"/>
  <c r="AD12" i="8" s="1"/>
  <c r="W15" i="7"/>
  <c r="AG13" i="7"/>
  <c r="AC13" i="7" s="1"/>
  <c r="AD13" i="7" s="1"/>
  <c r="AG12" i="6"/>
  <c r="AG15" i="6"/>
  <c r="AC15" i="6" s="1"/>
  <c r="AD15" i="6" s="1"/>
  <c r="AI12" i="9"/>
  <c r="AK12" i="9" s="1"/>
  <c r="V15" i="9"/>
  <c r="AU14" i="15"/>
  <c r="W10" i="7"/>
  <c r="W10" i="19"/>
  <c r="T15" i="10"/>
  <c r="AI15" i="10" s="1"/>
  <c r="AK15" i="10" s="1"/>
  <c r="T11" i="10"/>
  <c r="V11" i="10" s="1"/>
  <c r="T12" i="10"/>
  <c r="V12" i="10" s="1"/>
  <c r="T10" i="10"/>
  <c r="V10" i="10" s="1"/>
  <c r="T13" i="10"/>
  <c r="V13" i="10" s="1"/>
  <c r="AI10" i="9"/>
  <c r="AF10" i="9"/>
  <c r="AB10" i="9" s="1"/>
  <c r="AC10" i="9" s="1"/>
  <c r="AF12" i="9"/>
  <c r="AB12" i="9" s="1"/>
  <c r="AC12" i="9" s="1"/>
  <c r="AG13" i="8"/>
  <c r="AC13" i="8" s="1"/>
  <c r="AD13" i="8" s="1"/>
  <c r="V13" i="9"/>
  <c r="AH12" i="15"/>
  <c r="AH11" i="15"/>
  <c r="AG11" i="11"/>
  <c r="AC11" i="11" s="1"/>
  <c r="AD11" i="11" s="1"/>
  <c r="AJ11" i="11"/>
  <c r="AL11" i="11" s="1"/>
  <c r="AF13" i="9"/>
  <c r="AB13" i="9" s="1"/>
  <c r="AC13" i="9" s="1"/>
  <c r="W13" i="7"/>
  <c r="Q13" i="24"/>
  <c r="AG11" i="7"/>
  <c r="AC11" i="7" s="1"/>
  <c r="AD11" i="7" s="1"/>
  <c r="AU11" i="15"/>
  <c r="AJ15" i="11"/>
  <c r="W11" i="7"/>
  <c r="W15" i="11"/>
  <c r="AG14" i="11"/>
  <c r="AC14" i="11" s="1"/>
  <c r="AD14" i="11" s="1"/>
  <c r="AR15" i="15"/>
  <c r="AN15" i="15" s="1"/>
  <c r="AO15" i="15" s="1"/>
  <c r="V11" i="9"/>
  <c r="AJ12" i="8"/>
  <c r="AJ15" i="7"/>
  <c r="AL15" i="7" s="1"/>
  <c r="S14" i="4"/>
  <c r="S14" i="5"/>
  <c r="AF14" i="5"/>
  <c r="AB14" i="5"/>
  <c r="O14" i="5"/>
  <c r="T14" i="5" s="1"/>
  <c r="O14" i="4"/>
  <c r="DK11" i="24"/>
  <c r="AH15" i="15"/>
  <c r="S12" i="4"/>
  <c r="S12" i="5"/>
  <c r="AF12" i="5"/>
  <c r="S15" i="4"/>
  <c r="AF15" i="5"/>
  <c r="S15" i="5"/>
  <c r="O12" i="4"/>
  <c r="AB12" i="5"/>
  <c r="O12" i="5"/>
  <c r="T12" i="5" s="1"/>
  <c r="O15" i="4"/>
  <c r="AB15" i="5"/>
  <c r="O15" i="5"/>
  <c r="T15" i="5" s="1"/>
  <c r="AU15" i="5" s="1"/>
  <c r="DK12" i="24"/>
  <c r="AJ11" i="6"/>
  <c r="DF13" i="24"/>
  <c r="O10" i="5"/>
  <c r="T10" i="5" s="1"/>
  <c r="O10" i="4"/>
  <c r="AB10" i="5"/>
  <c r="DK7" i="24"/>
  <c r="S13" i="4"/>
  <c r="S13" i="5"/>
  <c r="AF13" i="5"/>
  <c r="AG14" i="7"/>
  <c r="AC14" i="7" s="1"/>
  <c r="AD14" i="7" s="1"/>
  <c r="DJ13" i="24"/>
  <c r="S10" i="4"/>
  <c r="AF10" i="5"/>
  <c r="S10" i="5"/>
  <c r="O13" i="5"/>
  <c r="T13" i="5" s="1"/>
  <c r="O13" i="4"/>
  <c r="AB13" i="5"/>
  <c r="DK10" i="24"/>
  <c r="O11" i="5"/>
  <c r="T11" i="5" s="1"/>
  <c r="AU11" i="5" s="1"/>
  <c r="AB11" i="5"/>
  <c r="O11" i="4"/>
  <c r="DK8" i="24"/>
  <c r="W14" i="7"/>
  <c r="AJ13" i="6"/>
  <c r="S11" i="4"/>
  <c r="S11" i="5"/>
  <c r="AF11" i="5"/>
  <c r="AH10" i="15"/>
  <c r="W12" i="11"/>
  <c r="AR10" i="15"/>
  <c r="AN10" i="15" s="1"/>
  <c r="AO10" i="15" s="1"/>
  <c r="P10" i="13"/>
  <c r="T10" i="13" s="1"/>
  <c r="AF10" i="13" s="1"/>
  <c r="DZ7" i="25"/>
  <c r="Q16" i="6"/>
  <c r="AJ12" i="7"/>
  <c r="AL12" i="7" s="1"/>
  <c r="DB13" i="23"/>
  <c r="AG12" i="7"/>
  <c r="AC12" i="7" s="1"/>
  <c r="AD12" i="7" s="1"/>
  <c r="AJ14" i="11"/>
  <c r="AL14" i="11" s="1"/>
  <c r="AG10" i="7"/>
  <c r="AC10" i="7" s="1"/>
  <c r="AD10" i="7" s="1"/>
  <c r="AI15" i="9"/>
  <c r="AK15" i="9" s="1"/>
  <c r="AP14" i="15"/>
  <c r="AQ14" i="15" s="1"/>
  <c r="P15" i="13"/>
  <c r="T15" i="13" s="1"/>
  <c r="AF15" i="13" s="1"/>
  <c r="DZ12" i="25"/>
  <c r="P14" i="13"/>
  <c r="T14" i="13" s="1"/>
  <c r="AF14" i="13" s="1"/>
  <c r="DZ11" i="25"/>
  <c r="AG10" i="19"/>
  <c r="AC10" i="19" s="1"/>
  <c r="AD10" i="19" s="1"/>
  <c r="AJ12" i="19"/>
  <c r="AL12" i="19" s="1"/>
  <c r="P13" i="13"/>
  <c r="T13" i="13" s="1"/>
  <c r="AI13" i="13" s="1"/>
  <c r="DZ10" i="25"/>
  <c r="AJ14" i="8"/>
  <c r="AL14" i="8" s="1"/>
  <c r="AJ13" i="8"/>
  <c r="AJ10" i="6"/>
  <c r="P12" i="13"/>
  <c r="T12" i="13" s="1"/>
  <c r="AI12" i="13" s="1"/>
  <c r="DZ9" i="25"/>
  <c r="P11" i="13"/>
  <c r="T11" i="13" s="1"/>
  <c r="AF11" i="13" s="1"/>
  <c r="DZ8" i="25"/>
  <c r="Z11" i="16"/>
  <c r="AK13" i="7"/>
  <c r="Z14" i="16"/>
  <c r="Z12" i="16"/>
  <c r="AG9" i="6"/>
  <c r="U16" i="6"/>
  <c r="AJ9" i="6"/>
  <c r="AK11" i="7"/>
  <c r="Z14" i="20"/>
  <c r="Z13" i="20"/>
  <c r="H16" i="20"/>
  <c r="Z10" i="16"/>
  <c r="AK10" i="7"/>
  <c r="Z13" i="16"/>
  <c r="Z12" i="20"/>
  <c r="Z10" i="20"/>
  <c r="AK10" i="19"/>
  <c r="AK15" i="6"/>
  <c r="AK14" i="7"/>
  <c r="AJ13" i="9"/>
  <c r="AR13" i="15"/>
  <c r="AN13" i="15" s="1"/>
  <c r="AO13" i="15" s="1"/>
  <c r="AU13" i="15"/>
  <c r="AQ15" i="15"/>
  <c r="AN11" i="15"/>
  <c r="AO11" i="15" s="1"/>
  <c r="AQ11" i="15"/>
  <c r="AN12" i="15"/>
  <c r="AO12" i="15" s="1"/>
  <c r="AH13" i="15"/>
  <c r="W10" i="11"/>
  <c r="AG10" i="11"/>
  <c r="AC10" i="11" s="1"/>
  <c r="AD10" i="11" s="1"/>
  <c r="AJ10" i="11"/>
  <c r="AL10" i="11" s="1"/>
  <c r="AK12" i="11"/>
  <c r="AK13" i="11"/>
  <c r="U10" i="12" l="1"/>
  <c r="AJ14" i="9"/>
  <c r="AV12" i="15"/>
  <c r="AK10" i="8"/>
  <c r="AK13" i="8"/>
  <c r="AL13" i="8"/>
  <c r="AK15" i="19"/>
  <c r="AL15" i="19"/>
  <c r="AK15" i="11"/>
  <c r="AL15" i="11"/>
  <c r="AK15" i="8"/>
  <c r="AL15" i="8"/>
  <c r="AW13" i="15"/>
  <c r="AW12" i="15"/>
  <c r="AJ11" i="9"/>
  <c r="AK12" i="8"/>
  <c r="AL12" i="8"/>
  <c r="AJ14" i="10"/>
  <c r="AK14" i="10"/>
  <c r="AK11" i="8"/>
  <c r="AL11" i="8"/>
  <c r="AK14" i="19"/>
  <c r="AJ10" i="9"/>
  <c r="AK10" i="9"/>
  <c r="AV10" i="15"/>
  <c r="AS11" i="15"/>
  <c r="AT11" i="15" s="1"/>
  <c r="AW11" i="15" s="1"/>
  <c r="AV13" i="15"/>
  <c r="AS14" i="15"/>
  <c r="AT14" i="15" s="1"/>
  <c r="AW14" i="15" s="1"/>
  <c r="AS15" i="15"/>
  <c r="AT15" i="15" s="1"/>
  <c r="AW15" i="15" s="1"/>
  <c r="AK11" i="19"/>
  <c r="AJ12" i="9"/>
  <c r="AK13" i="19"/>
  <c r="AF13" i="13"/>
  <c r="AJ15" i="9"/>
  <c r="AI11" i="10"/>
  <c r="AK11" i="10" s="1"/>
  <c r="AI10" i="10"/>
  <c r="AK10" i="10" s="1"/>
  <c r="AK14" i="8"/>
  <c r="V15" i="10"/>
  <c r="AI12" i="10"/>
  <c r="AK12" i="10" s="1"/>
  <c r="AF15" i="10"/>
  <c r="AB15" i="10" s="1"/>
  <c r="AC15" i="10" s="1"/>
  <c r="AF12" i="10"/>
  <c r="AB12" i="10" s="1"/>
  <c r="AC12" i="10" s="1"/>
  <c r="AF11" i="10"/>
  <c r="AB11" i="10" s="1"/>
  <c r="AC11" i="10" s="1"/>
  <c r="AF10" i="10"/>
  <c r="AB10" i="10" s="1"/>
  <c r="AC10" i="10" s="1"/>
  <c r="AK15" i="7"/>
  <c r="AG11" i="5"/>
  <c r="AP11" i="5" s="1"/>
  <c r="AG12" i="5"/>
  <c r="AH12" i="5" s="1"/>
  <c r="AJ15" i="10"/>
  <c r="AF13" i="10"/>
  <c r="AB13" i="10" s="1"/>
  <c r="AC13" i="10" s="1"/>
  <c r="AI13" i="10"/>
  <c r="AK13" i="10" s="1"/>
  <c r="T14" i="4"/>
  <c r="V14" i="4" s="1"/>
  <c r="AI14" i="13"/>
  <c r="AK11" i="11"/>
  <c r="AG15" i="5"/>
  <c r="AP15" i="5" s="1"/>
  <c r="AQ15" i="5" s="1"/>
  <c r="AS15" i="5" s="1"/>
  <c r="AG13" i="5"/>
  <c r="AP13" i="5" s="1"/>
  <c r="AQ13" i="5" s="1"/>
  <c r="AS13" i="5" s="1"/>
  <c r="AG10" i="5"/>
  <c r="AP10" i="5" s="1"/>
  <c r="AQ10" i="5" s="1"/>
  <c r="AS10" i="5" s="1"/>
  <c r="AR15" i="5"/>
  <c r="AK12" i="7"/>
  <c r="T15" i="4"/>
  <c r="AF15" i="4" s="1"/>
  <c r="AB15" i="4" s="1"/>
  <c r="AC15" i="4" s="1"/>
  <c r="T13" i="4"/>
  <c r="AI13" i="4" s="1"/>
  <c r="AK13" i="4" s="1"/>
  <c r="T10" i="4"/>
  <c r="V10" i="4" s="1"/>
  <c r="T12" i="4"/>
  <c r="AI12" i="4" s="1"/>
  <c r="AK12" i="4" s="1"/>
  <c r="AU12" i="5"/>
  <c r="AR12" i="5"/>
  <c r="AU14" i="5"/>
  <c r="AR14" i="5"/>
  <c r="AR10" i="5"/>
  <c r="AU10" i="5"/>
  <c r="AU13" i="5"/>
  <c r="AR13" i="5"/>
  <c r="AG14" i="5"/>
  <c r="AH14" i="5" s="1"/>
  <c r="AF12" i="13"/>
  <c r="T11" i="4"/>
  <c r="AI11" i="4" s="1"/>
  <c r="AK11" i="4" s="1"/>
  <c r="AK12" i="19"/>
  <c r="AN14" i="15"/>
  <c r="AO14" i="15" s="1"/>
  <c r="AI10" i="13"/>
  <c r="AI15" i="13"/>
  <c r="S16" i="5"/>
  <c r="AR11" i="5"/>
  <c r="AF16" i="5"/>
  <c r="AK14" i="11"/>
  <c r="S16" i="4"/>
  <c r="AB16" i="5"/>
  <c r="O16" i="4"/>
  <c r="O16" i="5"/>
  <c r="AI11" i="13"/>
  <c r="AG16" i="6"/>
  <c r="AJ16" i="6"/>
  <c r="R16" i="20"/>
  <c r="AA16" i="20"/>
  <c r="H16" i="16"/>
  <c r="AK10" i="11"/>
  <c r="S16" i="20" l="1"/>
  <c r="F23" i="30"/>
  <c r="G23" i="30" s="1"/>
  <c r="AV15" i="15"/>
  <c r="AV11" i="15"/>
  <c r="AV14" i="15"/>
  <c r="AJ11" i="10"/>
  <c r="AT10" i="5"/>
  <c r="AW10" i="5" s="1"/>
  <c r="AT13" i="5"/>
  <c r="AW13" i="5" s="1"/>
  <c r="AT15" i="5"/>
  <c r="AW15" i="5" s="1"/>
  <c r="AJ10" i="10"/>
  <c r="AJ12" i="10"/>
  <c r="AH11" i="5"/>
  <c r="AP12" i="5"/>
  <c r="AQ12" i="5" s="1"/>
  <c r="AS12" i="5" s="1"/>
  <c r="AF14" i="4"/>
  <c r="AB14" i="4" s="1"/>
  <c r="AC14" i="4" s="1"/>
  <c r="AI14" i="4"/>
  <c r="AK14" i="4" s="1"/>
  <c r="AH10" i="5"/>
  <c r="AH13" i="5"/>
  <c r="AJ13" i="10"/>
  <c r="AH15" i="5"/>
  <c r="AN15" i="5"/>
  <c r="AO15" i="5" s="1"/>
  <c r="AN10" i="5"/>
  <c r="AO10" i="5" s="1"/>
  <c r="AI10" i="4"/>
  <c r="V13" i="4"/>
  <c r="AF13" i="4"/>
  <c r="AB13" i="4" s="1"/>
  <c r="AC13" i="4" s="1"/>
  <c r="AF10" i="4"/>
  <c r="AB10" i="4" s="1"/>
  <c r="AC10" i="4" s="1"/>
  <c r="AJ12" i="4"/>
  <c r="V12" i="4"/>
  <c r="AF11" i="4"/>
  <c r="AB11" i="4" s="1"/>
  <c r="AC11" i="4" s="1"/>
  <c r="V11" i="4"/>
  <c r="AF12" i="4"/>
  <c r="AB12" i="4" s="1"/>
  <c r="AC12" i="4" s="1"/>
  <c r="AJ11" i="4"/>
  <c r="AN11" i="5"/>
  <c r="AO11" i="5" s="1"/>
  <c r="V15" i="4"/>
  <c r="Y15" i="4" s="1"/>
  <c r="AI15" i="4"/>
  <c r="AK15" i="4" s="1"/>
  <c r="AJ13" i="4"/>
  <c r="AN13" i="5"/>
  <c r="AO13" i="5" s="1"/>
  <c r="AP14" i="5"/>
  <c r="AQ11" i="5"/>
  <c r="AS11" i="5" s="1"/>
  <c r="AA16" i="16"/>
  <c r="H16" i="17"/>
  <c r="Y9" i="17"/>
  <c r="Z16" i="20"/>
  <c r="H16" i="18"/>
  <c r="AJ10" i="4" l="1"/>
  <c r="AK10" i="4"/>
  <c r="AV13" i="5"/>
  <c r="AV10" i="5"/>
  <c r="AT12" i="5"/>
  <c r="AW12" i="5" s="1"/>
  <c r="AT11" i="5"/>
  <c r="AW11" i="5" s="1"/>
  <c r="AV15" i="5"/>
  <c r="AJ14" i="4"/>
  <c r="AN12" i="5"/>
  <c r="AO12" i="5" s="1"/>
  <c r="AJ15" i="4"/>
  <c r="Z15" i="4"/>
  <c r="G12" i="21"/>
  <c r="AQ14" i="5"/>
  <c r="AS14" i="5" s="1"/>
  <c r="AN14" i="5"/>
  <c r="AO14" i="5" s="1"/>
  <c r="GD6" i="25"/>
  <c r="GD13" i="25" s="1"/>
  <c r="FZ13" i="25"/>
  <c r="FL13" i="25"/>
  <c r="FP6" i="25"/>
  <c r="FP13" i="25" s="1"/>
  <c r="GR6" i="25"/>
  <c r="GR13" i="25" s="1"/>
  <c r="GN13" i="25"/>
  <c r="EJ13" i="25"/>
  <c r="EN6" i="25"/>
  <c r="EN13" i="25" s="1"/>
  <c r="EX13" i="25"/>
  <c r="FB6" i="25"/>
  <c r="FB13" i="25" s="1"/>
  <c r="Y16" i="17"/>
  <c r="Z16" i="16"/>
  <c r="DV6" i="25"/>
  <c r="AV12" i="5" l="1"/>
  <c r="AT14" i="5"/>
  <c r="AW14" i="5" s="1"/>
  <c r="AV11" i="5"/>
  <c r="AE6" i="24"/>
  <c r="AE13" i="24" s="1"/>
  <c r="AT6" i="25"/>
  <c r="AT13" i="25" s="1"/>
  <c r="AP13" i="25"/>
  <c r="Q9" i="8"/>
  <c r="U9" i="8" s="1"/>
  <c r="U16" i="8" s="1"/>
  <c r="AX6" i="23"/>
  <c r="AX13" i="23" s="1"/>
  <c r="AT13" i="23"/>
  <c r="CJ6" i="25"/>
  <c r="CF13" i="25"/>
  <c r="CX6" i="25"/>
  <c r="CX13" i="25" s="1"/>
  <c r="CT13" i="25"/>
  <c r="BH6" i="25"/>
  <c r="BH13" i="25" s="1"/>
  <c r="BD13" i="25"/>
  <c r="AC9" i="15"/>
  <c r="AC16" i="15" s="1"/>
  <c r="BZ6" i="23"/>
  <c r="BZ13" i="23" s="1"/>
  <c r="BV13" i="23"/>
  <c r="Q9" i="19"/>
  <c r="Q16" i="19" s="1"/>
  <c r="U16" i="19" s="1"/>
  <c r="DL6" i="25"/>
  <c r="DL13" i="25" s="1"/>
  <c r="DH13" i="25"/>
  <c r="P9" i="10"/>
  <c r="DO6" i="23"/>
  <c r="DO13" i="23" s="1"/>
  <c r="DK13" i="23"/>
  <c r="P9" i="13"/>
  <c r="T9" i="13" s="1"/>
  <c r="DZ6" i="25"/>
  <c r="DZ13" i="25" s="1"/>
  <c r="DV13" i="25"/>
  <c r="BV6" i="25"/>
  <c r="AR9" i="12" s="1"/>
  <c r="BR13" i="25"/>
  <c r="AA13" i="24"/>
  <c r="P9" i="9"/>
  <c r="P16" i="9" s="1"/>
  <c r="CN6" i="23"/>
  <c r="CN13" i="23" s="1"/>
  <c r="CJ13" i="23"/>
  <c r="AO13" i="24"/>
  <c r="AS6" i="24"/>
  <c r="AS13" i="24" s="1"/>
  <c r="P9" i="4"/>
  <c r="P16" i="4" s="1"/>
  <c r="DK6" i="24"/>
  <c r="DK13" i="24" s="1"/>
  <c r="DG13" i="24"/>
  <c r="CI6" i="24"/>
  <c r="CI13" i="24" s="1"/>
  <c r="CE13" i="24"/>
  <c r="Q9" i="7"/>
  <c r="U9" i="7" s="1"/>
  <c r="W9" i="7" s="1"/>
  <c r="Q6" i="23"/>
  <c r="Q13" i="23" s="1"/>
  <c r="M13" i="23"/>
  <c r="P9" i="15"/>
  <c r="T9" i="15" s="1"/>
  <c r="BL6" i="23"/>
  <c r="BL13" i="23" s="1"/>
  <c r="BH13" i="23"/>
  <c r="DU13" i="24"/>
  <c r="DY6" i="24"/>
  <c r="DY13" i="24" s="1"/>
  <c r="Q9" i="11"/>
  <c r="P9" i="5"/>
  <c r="AC9" i="5"/>
  <c r="AV14" i="5" l="1"/>
  <c r="P16" i="13"/>
  <c r="T16" i="13" s="1"/>
  <c r="AF16" i="13" s="1"/>
  <c r="Q16" i="7"/>
  <c r="T9" i="10"/>
  <c r="V9" i="10" s="1"/>
  <c r="U9" i="19"/>
  <c r="AG9" i="19" s="1"/>
  <c r="Q16" i="8"/>
  <c r="P16" i="10"/>
  <c r="T9" i="9"/>
  <c r="V9" i="9" s="1"/>
  <c r="P16" i="15"/>
  <c r="AI9" i="10"/>
  <c r="AK9" i="10" s="1"/>
  <c r="T9" i="4"/>
  <c r="AG9" i="15"/>
  <c r="AH9" i="15" s="1"/>
  <c r="AS9" i="12"/>
  <c r="BU9" i="12" s="1"/>
  <c r="Q9" i="12" s="1"/>
  <c r="CJ13" i="25"/>
  <c r="BV13" i="25"/>
  <c r="U9" i="11"/>
  <c r="AG9" i="11" s="1"/>
  <c r="Q16" i="11"/>
  <c r="U16" i="7"/>
  <c r="AJ16" i="7" s="1"/>
  <c r="AL16" i="7" s="1"/>
  <c r="AG16" i="8"/>
  <c r="AC16" i="8" s="1"/>
  <c r="AJ16" i="8"/>
  <c r="AL16" i="8" s="1"/>
  <c r="W9" i="8"/>
  <c r="AG9" i="8"/>
  <c r="AJ9" i="8"/>
  <c r="AG9" i="7"/>
  <c r="AJ9" i="7"/>
  <c r="AJ16" i="19"/>
  <c r="AL16" i="19" s="1"/>
  <c r="W16" i="19"/>
  <c r="AG16" i="19"/>
  <c r="AC16" i="19" s="1"/>
  <c r="W9" i="19"/>
  <c r="AF9" i="13"/>
  <c r="AI9" i="13"/>
  <c r="AR9" i="15"/>
  <c r="AU9" i="15"/>
  <c r="T16" i="15"/>
  <c r="W16" i="8"/>
  <c r="AC16" i="5"/>
  <c r="AG16" i="5" s="1"/>
  <c r="AG9" i="5"/>
  <c r="AP9" i="5" s="1"/>
  <c r="P16" i="5"/>
  <c r="T9" i="5"/>
  <c r="AZ64" i="28"/>
  <c r="BA50" i="28" s="1"/>
  <c r="AV64" i="28"/>
  <c r="AW63" i="28" s="1"/>
  <c r="AR64" i="28"/>
  <c r="AS55" i="28" s="1"/>
  <c r="AN64" i="28"/>
  <c r="AO50" i="28" s="1"/>
  <c r="AI64" i="28"/>
  <c r="AJ60" i="28" s="1"/>
  <c r="AE64" i="28"/>
  <c r="AF60" i="28" s="1"/>
  <c r="Z64" i="28"/>
  <c r="AA62" i="28" s="1"/>
  <c r="V64" i="28"/>
  <c r="W48" i="28" s="1"/>
  <c r="AY58" i="28"/>
  <c r="AY59" i="28" s="1"/>
  <c r="AY60" i="28" s="1"/>
  <c r="AY61" i="28" s="1"/>
  <c r="AY62" i="28" s="1"/>
  <c r="AY63" i="28" s="1"/>
  <c r="AU58" i="28"/>
  <c r="AU59" i="28" s="1"/>
  <c r="AU60" i="28" s="1"/>
  <c r="AU61" i="28" s="1"/>
  <c r="AU62" i="28" s="1"/>
  <c r="AU63" i="28" s="1"/>
  <c r="AQ58" i="28"/>
  <c r="AQ59" i="28" s="1"/>
  <c r="AQ60" i="28" s="1"/>
  <c r="AQ61" i="28" s="1"/>
  <c r="AQ62" i="28" s="1"/>
  <c r="AQ63" i="28" s="1"/>
  <c r="AM58" i="28"/>
  <c r="AM59" i="28" s="1"/>
  <c r="AM60" i="28" s="1"/>
  <c r="AM61" i="28" s="1"/>
  <c r="AM62" i="28" s="1"/>
  <c r="AM63" i="28" s="1"/>
  <c r="AH58" i="28"/>
  <c r="AH59" i="28" s="1"/>
  <c r="AH60" i="28" s="1"/>
  <c r="AH61" i="28" s="1"/>
  <c r="AH62" i="28" s="1"/>
  <c r="AH63" i="28" s="1"/>
  <c r="AD58" i="28"/>
  <c r="AD59" i="28" s="1"/>
  <c r="AD60" i="28" s="1"/>
  <c r="AD61" i="28" s="1"/>
  <c r="AD62" i="28" s="1"/>
  <c r="AD63" i="28" s="1"/>
  <c r="Y58" i="28"/>
  <c r="Y59" i="28" s="1"/>
  <c r="Y60" i="28" s="1"/>
  <c r="Y61" i="28" s="1"/>
  <c r="Y62" i="28" s="1"/>
  <c r="Y63" i="28" s="1"/>
  <c r="U58" i="28"/>
  <c r="U59" i="28" s="1"/>
  <c r="U60" i="28" s="1"/>
  <c r="U61" i="28" s="1"/>
  <c r="U62" i="28" s="1"/>
  <c r="U63" i="28" s="1"/>
  <c r="O58" i="28"/>
  <c r="O59" i="28" s="1"/>
  <c r="O60" i="28" s="1"/>
  <c r="O61" i="28" s="1"/>
  <c r="O62" i="28" s="1"/>
  <c r="O63" i="28" s="1"/>
  <c r="AY53" i="28"/>
  <c r="AY54" i="28" s="1"/>
  <c r="AY55" i="28" s="1"/>
  <c r="AY56" i="28" s="1"/>
  <c r="AU53" i="28"/>
  <c r="AU54" i="28" s="1"/>
  <c r="AU55" i="28" s="1"/>
  <c r="AU56" i="28" s="1"/>
  <c r="AS53" i="28"/>
  <c r="AQ53" i="28"/>
  <c r="AQ54" i="28" s="1"/>
  <c r="AQ55" i="28" s="1"/>
  <c r="AQ56" i="28" s="1"/>
  <c r="AM53" i="28"/>
  <c r="AM54" i="28" s="1"/>
  <c r="AM55" i="28" s="1"/>
  <c r="AM56" i="28" s="1"/>
  <c r="AH53" i="28"/>
  <c r="AH54" i="28" s="1"/>
  <c r="AH55" i="28" s="1"/>
  <c r="AH56" i="28" s="1"/>
  <c r="AD53" i="28"/>
  <c r="AD54" i="28" s="1"/>
  <c r="AD55" i="28" s="1"/>
  <c r="AD56" i="28" s="1"/>
  <c r="Y53" i="28"/>
  <c r="Y54" i="28" s="1"/>
  <c r="Y55" i="28" s="1"/>
  <c r="Y56" i="28" s="1"/>
  <c r="U53" i="28"/>
  <c r="U54" i="28" s="1"/>
  <c r="U55" i="28" s="1"/>
  <c r="U56" i="28" s="1"/>
  <c r="O53" i="28"/>
  <c r="O54" i="28" s="1"/>
  <c r="O55" i="28" s="1"/>
  <c r="O56" i="28" s="1"/>
  <c r="AY48" i="28"/>
  <c r="AY49" i="28" s="1"/>
  <c r="AY50" i="28" s="1"/>
  <c r="AY51" i="28" s="1"/>
  <c r="AU48" i="28"/>
  <c r="AU49" i="28" s="1"/>
  <c r="AU50" i="28" s="1"/>
  <c r="AU51" i="28" s="1"/>
  <c r="AQ48" i="28"/>
  <c r="AQ49" i="28" s="1"/>
  <c r="AQ50" i="28" s="1"/>
  <c r="AQ51" i="28" s="1"/>
  <c r="AM48" i="28"/>
  <c r="AM49" i="28" s="1"/>
  <c r="AM50" i="28" s="1"/>
  <c r="AM51" i="28" s="1"/>
  <c r="AH48" i="28"/>
  <c r="AH49" i="28" s="1"/>
  <c r="AH50" i="28" s="1"/>
  <c r="AH51" i="28" s="1"/>
  <c r="AD48" i="28"/>
  <c r="AD49" i="28" s="1"/>
  <c r="AD50" i="28" s="1"/>
  <c r="AD51" i="28" s="1"/>
  <c r="Y48" i="28"/>
  <c r="Y49" i="28" s="1"/>
  <c r="Y50" i="28" s="1"/>
  <c r="Y51" i="28" s="1"/>
  <c r="U48" i="28"/>
  <c r="U49" i="28" s="1"/>
  <c r="U50" i="28" s="1"/>
  <c r="U51" i="28" s="1"/>
  <c r="O48" i="28"/>
  <c r="O49" i="28" s="1"/>
  <c r="O50" i="28" s="1"/>
  <c r="O51" i="28" s="1"/>
  <c r="BA47" i="28"/>
  <c r="AY46" i="28"/>
  <c r="AU46" i="28"/>
  <c r="AQ46" i="28"/>
  <c r="AM46" i="28"/>
  <c r="AH46" i="28"/>
  <c r="AD46" i="28"/>
  <c r="Y46" i="28"/>
  <c r="U46" i="28"/>
  <c r="O46" i="28"/>
  <c r="BA45" i="28"/>
  <c r="AW45" i="28"/>
  <c r="AS45" i="28"/>
  <c r="AN13" i="27"/>
  <c r="AH13" i="27"/>
  <c r="AH15" i="27" s="1"/>
  <c r="Z13" i="27"/>
  <c r="Z15" i="27" s="1"/>
  <c r="L13" i="27"/>
  <c r="L15" i="27" s="1"/>
  <c r="G13" i="27"/>
  <c r="G15" i="27" s="1"/>
  <c r="AN11" i="27"/>
  <c r="K14" i="18" s="1"/>
  <c r="AH11" i="27"/>
  <c r="K14" i="17" s="1"/>
  <c r="L14" i="17" s="1"/>
  <c r="Z11" i="27"/>
  <c r="V14" i="12" s="1"/>
  <c r="L11" i="27"/>
  <c r="G11" i="27"/>
  <c r="V14" i="6" s="1"/>
  <c r="AN10" i="27"/>
  <c r="K13" i="18" s="1"/>
  <c r="AH10" i="27"/>
  <c r="K13" i="17" s="1"/>
  <c r="L13" i="17" s="1"/>
  <c r="Z10" i="27"/>
  <c r="V13" i="12" s="1"/>
  <c r="L10" i="27"/>
  <c r="G10" i="27"/>
  <c r="V13" i="6" s="1"/>
  <c r="AN9" i="27"/>
  <c r="K12" i="18" s="1"/>
  <c r="AH9" i="27"/>
  <c r="K12" i="17" s="1"/>
  <c r="L12" i="17" s="1"/>
  <c r="Z9" i="27"/>
  <c r="V12" i="12" s="1"/>
  <c r="L9" i="27"/>
  <c r="G9" i="27"/>
  <c r="V12" i="6" s="1"/>
  <c r="AN8" i="27"/>
  <c r="K11" i="18" s="1"/>
  <c r="AH8" i="27"/>
  <c r="K11" i="17" s="1"/>
  <c r="L11" i="17" s="1"/>
  <c r="Z8" i="27"/>
  <c r="V11" i="12" s="1"/>
  <c r="L8" i="27"/>
  <c r="G8" i="27"/>
  <c r="V11" i="6" s="1"/>
  <c r="AN7" i="27"/>
  <c r="K10" i="18" s="1"/>
  <c r="AH7" i="27"/>
  <c r="K10" i="17" s="1"/>
  <c r="L10" i="17" s="1"/>
  <c r="Z7" i="27"/>
  <c r="V10" i="12" s="1"/>
  <c r="L7" i="27"/>
  <c r="G7" i="27"/>
  <c r="V10" i="6" s="1"/>
  <c r="AN6" i="27"/>
  <c r="K9" i="18" s="1"/>
  <c r="Z6" i="27"/>
  <c r="V9" i="12" s="1"/>
  <c r="AE9" i="12" s="1"/>
  <c r="L6" i="27"/>
  <c r="G6" i="27"/>
  <c r="V9" i="6" s="1"/>
  <c r="H40" i="18"/>
  <c r="H46" i="18"/>
  <c r="H45" i="18"/>
  <c r="H51" i="18"/>
  <c r="C2" i="26"/>
  <c r="C2" i="25"/>
  <c r="C2" i="24"/>
  <c r="H20" i="6"/>
  <c r="W20" i="6" s="1"/>
  <c r="H18" i="6"/>
  <c r="W18" i="6" s="1"/>
  <c r="S1" i="22"/>
  <c r="Q1" i="21"/>
  <c r="U9" i="20"/>
  <c r="W9" i="20" s="1"/>
  <c r="M2" i="20"/>
  <c r="X2" i="19"/>
  <c r="K52" i="18"/>
  <c r="K51" i="18"/>
  <c r="K49" i="18"/>
  <c r="K45" i="18"/>
  <c r="K44" i="18"/>
  <c r="K43" i="18"/>
  <c r="K42" i="18"/>
  <c r="K39" i="18"/>
  <c r="K38" i="18"/>
  <c r="K37" i="18"/>
  <c r="H44" i="18"/>
  <c r="H39" i="18"/>
  <c r="H52" i="18"/>
  <c r="H42" i="18"/>
  <c r="H49" i="18"/>
  <c r="H48" i="18"/>
  <c r="M2" i="18"/>
  <c r="U9" i="17"/>
  <c r="M2" i="17"/>
  <c r="M2" i="16"/>
  <c r="AI2" i="15"/>
  <c r="W8" i="14"/>
  <c r="T8" i="14"/>
  <c r="R8" i="14"/>
  <c r="O8" i="14"/>
  <c r="I15" i="14"/>
  <c r="H15" i="14"/>
  <c r="L13" i="14"/>
  <c r="M13" i="14" s="1"/>
  <c r="J13" i="14"/>
  <c r="L12" i="14"/>
  <c r="J12" i="14"/>
  <c r="M12" i="14" s="1"/>
  <c r="L11" i="14"/>
  <c r="J11" i="14"/>
  <c r="L10" i="14"/>
  <c r="J10" i="14"/>
  <c r="L8" i="14"/>
  <c r="J8" i="14"/>
  <c r="K2" i="14"/>
  <c r="W2" i="13"/>
  <c r="BS16" i="12"/>
  <c r="BB14" i="12"/>
  <c r="AY14" i="12"/>
  <c r="AZ14" i="12" s="1"/>
  <c r="BA14" i="12" s="1"/>
  <c r="BB13" i="12"/>
  <c r="AY13" i="12"/>
  <c r="AZ13" i="12" s="1"/>
  <c r="BA13" i="12" s="1"/>
  <c r="BB12" i="12"/>
  <c r="AY12" i="12"/>
  <c r="AZ12" i="12" s="1"/>
  <c r="BA12" i="12" s="1"/>
  <c r="BB11" i="12"/>
  <c r="AY11" i="12"/>
  <c r="AZ11" i="12" s="1"/>
  <c r="BA11" i="12" s="1"/>
  <c r="BB10" i="12"/>
  <c r="AY10" i="12"/>
  <c r="AZ10" i="12" s="1"/>
  <c r="BA10" i="12" s="1"/>
  <c r="BB9" i="12"/>
  <c r="AY9" i="12"/>
  <c r="AZ9" i="12" s="1"/>
  <c r="BA9" i="12" s="1"/>
  <c r="X2" i="12"/>
  <c r="X2" i="11"/>
  <c r="W2" i="10"/>
  <c r="AE9" i="9"/>
  <c r="W2" i="9"/>
  <c r="X2" i="8"/>
  <c r="X2" i="7"/>
  <c r="Y21" i="6"/>
  <c r="H21" i="6"/>
  <c r="W21" i="6" s="1"/>
  <c r="Z21" i="6" s="1"/>
  <c r="Y20" i="6"/>
  <c r="Y19" i="6"/>
  <c r="H19" i="6"/>
  <c r="W19" i="6" s="1"/>
  <c r="Z19" i="6" s="1"/>
  <c r="Y18" i="6"/>
  <c r="X2" i="6"/>
  <c r="AI2" i="5"/>
  <c r="U18" i="4"/>
  <c r="W2" i="4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9" i="3"/>
  <c r="H9" i="3"/>
  <c r="J9" i="3" s="1"/>
  <c r="L8" i="3"/>
  <c r="J8" i="3"/>
  <c r="M8" i="3" s="1"/>
  <c r="K2" i="3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J10" i="2"/>
  <c r="I10" i="2"/>
  <c r="H10" i="2"/>
  <c r="L8" i="2"/>
  <c r="J8" i="2"/>
  <c r="K2" i="2"/>
  <c r="U9" i="12" l="1"/>
  <c r="Q17" i="12"/>
  <c r="AE14" i="12"/>
  <c r="AF14" i="12" s="1"/>
  <c r="W14" i="12"/>
  <c r="AE12" i="12"/>
  <c r="AF12" i="12" s="1"/>
  <c r="W12" i="12"/>
  <c r="AE13" i="12"/>
  <c r="AF13" i="12" s="1"/>
  <c r="W13" i="12"/>
  <c r="AE10" i="12"/>
  <c r="AF10" i="12" s="1"/>
  <c r="W10" i="12"/>
  <c r="AE11" i="12"/>
  <c r="AF11" i="12" s="1"/>
  <c r="W11" i="12"/>
  <c r="T11" i="17"/>
  <c r="U11" i="17" s="1"/>
  <c r="T12" i="18"/>
  <c r="U12" i="18" s="1"/>
  <c r="L12" i="18"/>
  <c r="O12" i="18" s="1"/>
  <c r="T14" i="18"/>
  <c r="U14" i="18" s="1"/>
  <c r="L14" i="18"/>
  <c r="O14" i="18" s="1"/>
  <c r="T12" i="17"/>
  <c r="R12" i="17" s="1"/>
  <c r="S12" i="17" s="1"/>
  <c r="O12" i="17"/>
  <c r="T14" i="17"/>
  <c r="U14" i="17" s="1"/>
  <c r="O14" i="17"/>
  <c r="T13" i="17"/>
  <c r="R13" i="17" s="1"/>
  <c r="S13" i="17" s="1"/>
  <c r="O13" i="17"/>
  <c r="T13" i="18"/>
  <c r="U13" i="18" s="1"/>
  <c r="L13" i="18"/>
  <c r="O13" i="18" s="1"/>
  <c r="T9" i="18"/>
  <c r="R9" i="18" s="1"/>
  <c r="S9" i="18" s="1"/>
  <c r="L9" i="18"/>
  <c r="O9" i="18" s="1"/>
  <c r="T10" i="18"/>
  <c r="U10" i="18" s="1"/>
  <c r="L10" i="18"/>
  <c r="O10" i="18" s="1"/>
  <c r="T11" i="18"/>
  <c r="U11" i="18" s="1"/>
  <c r="L11" i="18"/>
  <c r="O11" i="18" s="1"/>
  <c r="BS9" i="12"/>
  <c r="BT9" i="12"/>
  <c r="N9" i="12" s="1"/>
  <c r="U9" i="13" s="1"/>
  <c r="AP16" i="5"/>
  <c r="AQ16" i="5" s="1"/>
  <c r="AS16" i="5" s="1"/>
  <c r="AT16" i="5" s="1"/>
  <c r="BA48" i="28"/>
  <c r="BA51" i="28"/>
  <c r="AA57" i="28"/>
  <c r="BA46" i="28"/>
  <c r="AS47" i="28"/>
  <c r="AW47" i="28"/>
  <c r="W47" i="28"/>
  <c r="AA47" i="28"/>
  <c r="W50" i="28"/>
  <c r="W51" i="28"/>
  <c r="W58" i="28"/>
  <c r="AA52" i="28"/>
  <c r="W55" i="28"/>
  <c r="W46" i="28"/>
  <c r="AA48" i="28"/>
  <c r="BA52" i="28"/>
  <c r="AA55" i="28"/>
  <c r="W54" i="28"/>
  <c r="W56" i="28"/>
  <c r="AA51" i="28"/>
  <c r="AA54" i="28"/>
  <c r="AA56" i="28"/>
  <c r="AA58" i="28"/>
  <c r="AA46" i="28"/>
  <c r="W53" i="28"/>
  <c r="AJ56" i="28"/>
  <c r="AA59" i="28"/>
  <c r="AA49" i="28"/>
  <c r="AS56" i="28"/>
  <c r="AA60" i="28"/>
  <c r="W52" i="28"/>
  <c r="AW46" i="28"/>
  <c r="AA53" i="28"/>
  <c r="AW56" i="28"/>
  <c r="AA61" i="28"/>
  <c r="W49" i="28"/>
  <c r="AS46" i="28"/>
  <c r="W45" i="28"/>
  <c r="W57" i="28"/>
  <c r="AH10" i="12"/>
  <c r="AI10" i="12" s="1"/>
  <c r="AI15" i="12" s="1"/>
  <c r="AH14" i="12"/>
  <c r="AI14" i="12" s="1"/>
  <c r="AH13" i="12"/>
  <c r="AI13" i="12" s="1"/>
  <c r="AH11" i="12"/>
  <c r="AI11" i="12" s="1"/>
  <c r="AH12" i="12"/>
  <c r="AI12" i="12" s="1"/>
  <c r="AD16" i="19"/>
  <c r="F22" i="30"/>
  <c r="G22" i="30" s="1"/>
  <c r="AD16" i="8"/>
  <c r="F11" i="30"/>
  <c r="G11" i="30" s="1"/>
  <c r="W9" i="17"/>
  <c r="X9" i="17" s="1"/>
  <c r="X9" i="20"/>
  <c r="AG9" i="9"/>
  <c r="AH9" i="9" s="1"/>
  <c r="AI9" i="4"/>
  <c r="V9" i="4"/>
  <c r="AI16" i="13"/>
  <c r="AS52" i="28"/>
  <c r="AS49" i="28"/>
  <c r="AW49" i="28"/>
  <c r="BA49" i="28"/>
  <c r="AW59" i="28"/>
  <c r="AS50" i="28"/>
  <c r="AW50" i="28"/>
  <c r="AJ54" i="28"/>
  <c r="AS54" i="28"/>
  <c r="AS48" i="28"/>
  <c r="AW54" i="28"/>
  <c r="AS60" i="28"/>
  <c r="AS51" i="28"/>
  <c r="AJ53" i="28"/>
  <c r="AF45" i="28"/>
  <c r="AF46" i="28"/>
  <c r="AJ47" i="28"/>
  <c r="AF52" i="28"/>
  <c r="AW60" i="28"/>
  <c r="AJ50" i="28"/>
  <c r="AJ52" i="28"/>
  <c r="AO45" i="28"/>
  <c r="AJ46" i="28"/>
  <c r="AJ55" i="28"/>
  <c r="AJ57" i="28"/>
  <c r="AJ61" i="28"/>
  <c r="AO55" i="28"/>
  <c r="AW57" i="28"/>
  <c r="AW58" i="28"/>
  <c r="AW61" i="28"/>
  <c r="AW53" i="28"/>
  <c r="AW55" i="28"/>
  <c r="BA55" i="28"/>
  <c r="W59" i="28"/>
  <c r="AJ48" i="28"/>
  <c r="AJ45" i="28"/>
  <c r="AJ51" i="28"/>
  <c r="BA53" i="28"/>
  <c r="AW62" i="28"/>
  <c r="AF59" i="28"/>
  <c r="AF48" i="28"/>
  <c r="AJ58" i="28"/>
  <c r="AJ49" i="28"/>
  <c r="AW51" i="28"/>
  <c r="AJ59" i="28"/>
  <c r="AF47" i="28"/>
  <c r="AF49" i="28"/>
  <c r="AO60" i="28"/>
  <c r="AS62" i="28"/>
  <c r="AO52" i="28"/>
  <c r="AO54" i="28"/>
  <c r="AO47" i="28"/>
  <c r="AO49" i="28"/>
  <c r="AO57" i="28"/>
  <c r="AO46" i="28"/>
  <c r="AO48" i="28"/>
  <c r="AF51" i="28"/>
  <c r="AS57" i="28"/>
  <c r="AO58" i="28"/>
  <c r="BA60" i="28"/>
  <c r="BA62" i="28"/>
  <c r="AO59" i="28"/>
  <c r="AF63" i="28"/>
  <c r="AO51" i="28"/>
  <c r="BA54" i="28"/>
  <c r="AF56" i="28"/>
  <c r="BA57" i="28"/>
  <c r="AS58" i="28"/>
  <c r="AF61" i="28"/>
  <c r="AO63" i="28"/>
  <c r="AS59" i="28"/>
  <c r="AS63" i="28"/>
  <c r="AF50" i="28"/>
  <c r="AO56" i="28"/>
  <c r="AO61" i="28"/>
  <c r="BA59" i="28"/>
  <c r="AS61" i="28"/>
  <c r="BA63" i="28"/>
  <c r="AF55" i="28"/>
  <c r="BA58" i="28"/>
  <c r="AF53" i="28"/>
  <c r="AF54" i="28"/>
  <c r="BA56" i="28"/>
  <c r="BA61" i="28"/>
  <c r="AA50" i="28"/>
  <c r="AA45" i="28"/>
  <c r="AN15" i="27"/>
  <c r="K16" i="18"/>
  <c r="K40" i="18"/>
  <c r="K46" i="18"/>
  <c r="K47" i="18"/>
  <c r="K48" i="18"/>
  <c r="K36" i="18"/>
  <c r="K41" i="18"/>
  <c r="AE14" i="6"/>
  <c r="W14" i="6"/>
  <c r="Z14" i="6" s="1"/>
  <c r="AE11" i="6"/>
  <c r="W11" i="6"/>
  <c r="Z11" i="6" s="1"/>
  <c r="AE12" i="6"/>
  <c r="W12" i="6"/>
  <c r="Z12" i="6" s="1"/>
  <c r="AE13" i="6"/>
  <c r="W13" i="6"/>
  <c r="Z13" i="6" s="1"/>
  <c r="AE10" i="6"/>
  <c r="W10" i="6"/>
  <c r="Z10" i="6" s="1"/>
  <c r="W9" i="6"/>
  <c r="Z9" i="6" s="1"/>
  <c r="AA9" i="6" s="1"/>
  <c r="V16" i="6"/>
  <c r="V23" i="6" s="1"/>
  <c r="AE9" i="6"/>
  <c r="AF9" i="6" s="1"/>
  <c r="AJ9" i="19"/>
  <c r="T16" i="10"/>
  <c r="AF9" i="10"/>
  <c r="AB9" i="10" s="1"/>
  <c r="AF9" i="9"/>
  <c r="T16" i="9"/>
  <c r="V16" i="9" s="1"/>
  <c r="Y16" i="9" s="1"/>
  <c r="AI9" i="9"/>
  <c r="AP9" i="15"/>
  <c r="T16" i="4"/>
  <c r="AF9" i="4"/>
  <c r="AB9" i="4" s="1"/>
  <c r="V17" i="12"/>
  <c r="AE17" i="12" s="1"/>
  <c r="AF17" i="12" s="1"/>
  <c r="AG16" i="15"/>
  <c r="AP16" i="15" s="1"/>
  <c r="U16" i="11"/>
  <c r="W16" i="11" s="1"/>
  <c r="Z16" i="11" s="1"/>
  <c r="W9" i="11"/>
  <c r="Z9" i="11" s="1"/>
  <c r="AJ9" i="11"/>
  <c r="W16" i="7"/>
  <c r="Z16" i="7" s="1"/>
  <c r="AG16" i="7"/>
  <c r="AC16" i="7" s="1"/>
  <c r="S8" i="14"/>
  <c r="M10" i="14"/>
  <c r="N12" i="14"/>
  <c r="M8" i="14"/>
  <c r="M11" i="14"/>
  <c r="AK16" i="19"/>
  <c r="AK16" i="7"/>
  <c r="AK16" i="8"/>
  <c r="T16" i="5"/>
  <c r="AR9" i="5"/>
  <c r="AU9" i="5"/>
  <c r="O12" i="20"/>
  <c r="O14" i="20"/>
  <c r="O15" i="20"/>
  <c r="Z13" i="19"/>
  <c r="U12" i="17"/>
  <c r="T10" i="17"/>
  <c r="K16" i="17"/>
  <c r="L16" i="17" s="1"/>
  <c r="O15" i="18"/>
  <c r="O11" i="16"/>
  <c r="U9" i="16"/>
  <c r="AR16" i="15"/>
  <c r="AU16" i="15"/>
  <c r="BS15" i="12"/>
  <c r="O12" i="16"/>
  <c r="H47" i="18"/>
  <c r="O13" i="20"/>
  <c r="O9" i="20"/>
  <c r="O11" i="17"/>
  <c r="P11" i="17" s="1"/>
  <c r="O14" i="16"/>
  <c r="H37" i="18"/>
  <c r="R9" i="20"/>
  <c r="S9" i="20" s="1"/>
  <c r="O16" i="20"/>
  <c r="H23" i="30" s="1"/>
  <c r="Z14" i="8"/>
  <c r="K11" i="21" s="1"/>
  <c r="AH9" i="5"/>
  <c r="AK9" i="5" s="1"/>
  <c r="AQ9" i="5"/>
  <c r="AS9" i="5" s="1"/>
  <c r="Z11" i="19"/>
  <c r="Z14" i="19"/>
  <c r="Z12" i="19"/>
  <c r="AC9" i="19"/>
  <c r="AD9" i="19" s="1"/>
  <c r="AF9" i="19"/>
  <c r="Z16" i="19"/>
  <c r="H22" i="30" s="1"/>
  <c r="Z10" i="19"/>
  <c r="Z15" i="19"/>
  <c r="R9" i="17"/>
  <c r="S9" i="17" s="1"/>
  <c r="O15" i="17"/>
  <c r="O15" i="16"/>
  <c r="AK11" i="15"/>
  <c r="AL11" i="15" s="1"/>
  <c r="AF9" i="12"/>
  <c r="Z14" i="11"/>
  <c r="Z10" i="11"/>
  <c r="Z12" i="11"/>
  <c r="Y15" i="9"/>
  <c r="AF9" i="8"/>
  <c r="Z18" i="6"/>
  <c r="Z20" i="6"/>
  <c r="AA20" i="6" s="1"/>
  <c r="AK15" i="5"/>
  <c r="P8" i="14"/>
  <c r="Q8" i="14" s="1"/>
  <c r="Z13" i="11"/>
  <c r="Y13" i="10"/>
  <c r="Z13" i="10" s="1"/>
  <c r="M10" i="22" s="1"/>
  <c r="Y11" i="10"/>
  <c r="M8" i="21" s="1"/>
  <c r="Y12" i="10"/>
  <c r="M9" i="21" s="1"/>
  <c r="Y9" i="10"/>
  <c r="M6" i="21" s="1"/>
  <c r="Y14" i="10"/>
  <c r="M11" i="21" s="1"/>
  <c r="Y15" i="10"/>
  <c r="M12" i="21" s="1"/>
  <c r="Z15" i="8"/>
  <c r="K12" i="21" s="1"/>
  <c r="Z13" i="8"/>
  <c r="K10" i="21" s="1"/>
  <c r="Z9" i="8"/>
  <c r="K6" i="21" s="1"/>
  <c r="Z10" i="8"/>
  <c r="K7" i="21" s="1"/>
  <c r="Z12" i="8"/>
  <c r="K9" i="21" s="1"/>
  <c r="Z15" i="6"/>
  <c r="H43" i="18"/>
  <c r="Y11" i="9"/>
  <c r="O10" i="17"/>
  <c r="P10" i="17" s="1"/>
  <c r="O10" i="20"/>
  <c r="Y13" i="9"/>
  <c r="AK10" i="5"/>
  <c r="AK14" i="5"/>
  <c r="AK12" i="15"/>
  <c r="AL12" i="15" s="1"/>
  <c r="AC9" i="8"/>
  <c r="AD9" i="8" s="1"/>
  <c r="Y10" i="9"/>
  <c r="Z10" i="9" s="1"/>
  <c r="Z10" i="7"/>
  <c r="Z13" i="7"/>
  <c r="Y12" i="9"/>
  <c r="Z12" i="9" s="1"/>
  <c r="AK10" i="15"/>
  <c r="Z14" i="7"/>
  <c r="AA14" i="7" s="1"/>
  <c r="Y9" i="9"/>
  <c r="Z15" i="7"/>
  <c r="AA15" i="7" s="1"/>
  <c r="AK13" i="15"/>
  <c r="AL13" i="15" s="1"/>
  <c r="Y14" i="9"/>
  <c r="AK14" i="15"/>
  <c r="Y12" i="4"/>
  <c r="Y13" i="4"/>
  <c r="G10" i="21" s="1"/>
  <c r="Y11" i="4"/>
  <c r="G8" i="21" s="1"/>
  <c r="Y14" i="4"/>
  <c r="G11" i="21" s="1"/>
  <c r="M8" i="2"/>
  <c r="E13" i="21" s="1"/>
  <c r="AA21" i="6"/>
  <c r="AA19" i="6"/>
  <c r="F13" i="21"/>
  <c r="N8" i="3"/>
  <c r="F13" i="22" s="1"/>
  <c r="Z11" i="8"/>
  <c r="K8" i="21" s="1"/>
  <c r="N8" i="14"/>
  <c r="Q13" i="22" s="1"/>
  <c r="Q13" i="21"/>
  <c r="AC9" i="11"/>
  <c r="AD9" i="11" s="1"/>
  <c r="N10" i="14"/>
  <c r="Z9" i="19"/>
  <c r="N11" i="14"/>
  <c r="H38" i="18"/>
  <c r="Y10" i="4"/>
  <c r="G7" i="21" s="1"/>
  <c r="AK12" i="5"/>
  <c r="Z11" i="11"/>
  <c r="Z15" i="11"/>
  <c r="AO17" i="12"/>
  <c r="O13" i="16"/>
  <c r="H36" i="18"/>
  <c r="Y10" i="10"/>
  <c r="M7" i="21" s="1"/>
  <c r="H41" i="18"/>
  <c r="AK15" i="15"/>
  <c r="O9" i="17"/>
  <c r="P9" i="17" s="1"/>
  <c r="AK11" i="5"/>
  <c r="AK13" i="5"/>
  <c r="AF9" i="11"/>
  <c r="BS12" i="12"/>
  <c r="K12" i="12"/>
  <c r="N13" i="14"/>
  <c r="O10" i="16"/>
  <c r="O11" i="20"/>
  <c r="H50" i="18"/>
  <c r="K11" i="12"/>
  <c r="AF58" i="28"/>
  <c r="AF57" i="28"/>
  <c r="W62" i="28"/>
  <c r="AO62" i="28"/>
  <c r="AO53" i="28"/>
  <c r="AF62" i="28"/>
  <c r="W63" i="28"/>
  <c r="W60" i="28"/>
  <c r="AJ62" i="28"/>
  <c r="AA63" i="28"/>
  <c r="AW52" i="28"/>
  <c r="AW48" i="28"/>
  <c r="W61" i="28"/>
  <c r="AJ63" i="28"/>
  <c r="R11" i="17" l="1"/>
  <c r="S11" i="17" s="1"/>
  <c r="R10" i="18"/>
  <c r="S10" i="18" s="1"/>
  <c r="R12" i="18"/>
  <c r="S12" i="18" s="1"/>
  <c r="R14" i="18"/>
  <c r="S14" i="18" s="1"/>
  <c r="R11" i="18"/>
  <c r="S11" i="18" s="1"/>
  <c r="R14" i="17"/>
  <c r="S14" i="17" s="1"/>
  <c r="U13" i="17"/>
  <c r="O16" i="17"/>
  <c r="R13" i="18"/>
  <c r="S13" i="18" s="1"/>
  <c r="U9" i="18"/>
  <c r="L16" i="18"/>
  <c r="O16" i="18" s="1"/>
  <c r="U17" i="12"/>
  <c r="AG9" i="12"/>
  <c r="W9" i="12"/>
  <c r="N17" i="12"/>
  <c r="AA16" i="7"/>
  <c r="H9" i="30"/>
  <c r="AA16" i="11"/>
  <c r="N13" i="22" s="1"/>
  <c r="H14" i="30"/>
  <c r="Z16" i="9"/>
  <c r="L13" i="22" s="1"/>
  <c r="H12" i="30"/>
  <c r="T9" i="21"/>
  <c r="P12" i="17"/>
  <c r="T9" i="22" s="1"/>
  <c r="W12" i="21"/>
  <c r="P15" i="20"/>
  <c r="W12" i="22" s="1"/>
  <c r="S8" i="21"/>
  <c r="P11" i="16"/>
  <c r="S8" i="22" s="1"/>
  <c r="W11" i="21"/>
  <c r="P14" i="20"/>
  <c r="W11" i="22" s="1"/>
  <c r="P16" i="20"/>
  <c r="W13" i="22" s="1"/>
  <c r="W9" i="21"/>
  <c r="P12" i="20"/>
  <c r="W9" i="22" s="1"/>
  <c r="U12" i="21"/>
  <c r="P15" i="18"/>
  <c r="U12" i="22" s="1"/>
  <c r="S12" i="21"/>
  <c r="P15" i="16"/>
  <c r="S12" i="22" s="1"/>
  <c r="U6" i="21"/>
  <c r="P9" i="18"/>
  <c r="U6" i="22" s="1"/>
  <c r="T12" i="21"/>
  <c r="P15" i="17"/>
  <c r="T12" i="22" s="1"/>
  <c r="S11" i="21"/>
  <c r="P14" i="16"/>
  <c r="S11" i="22" s="1"/>
  <c r="W8" i="21"/>
  <c r="P11" i="20"/>
  <c r="W8" i="22" s="1"/>
  <c r="U10" i="21"/>
  <c r="P13" i="18"/>
  <c r="U10" i="22" s="1"/>
  <c r="W6" i="21"/>
  <c r="P9" i="20"/>
  <c r="W6" i="22" s="1"/>
  <c r="W10" i="21"/>
  <c r="P13" i="20"/>
  <c r="W10" i="22" s="1"/>
  <c r="U8" i="21"/>
  <c r="P11" i="18"/>
  <c r="U8" i="22" s="1"/>
  <c r="T11" i="21"/>
  <c r="P14" i="17"/>
  <c r="T11" i="22" s="1"/>
  <c r="U7" i="21"/>
  <c r="P10" i="18"/>
  <c r="U7" i="22" s="1"/>
  <c r="P12" i="18"/>
  <c r="U9" i="22" s="1"/>
  <c r="W7" i="21"/>
  <c r="P10" i="20"/>
  <c r="W7" i="22" s="1"/>
  <c r="U11" i="21"/>
  <c r="P14" i="18"/>
  <c r="S7" i="21"/>
  <c r="P10" i="16"/>
  <c r="S7" i="22" s="1"/>
  <c r="S10" i="21"/>
  <c r="P13" i="16"/>
  <c r="S10" i="22" s="1"/>
  <c r="S9" i="21"/>
  <c r="P12" i="16"/>
  <c r="S9" i="22" s="1"/>
  <c r="T10" i="21"/>
  <c r="P13" i="17"/>
  <c r="T10" i="22" s="1"/>
  <c r="N6" i="21"/>
  <c r="AA9" i="11"/>
  <c r="N6" i="22" s="1"/>
  <c r="V6" i="21"/>
  <c r="AA9" i="19"/>
  <c r="V6" i="22" s="1"/>
  <c r="H6" i="21"/>
  <c r="AL9" i="5"/>
  <c r="H6" i="22" s="1"/>
  <c r="L6" i="21"/>
  <c r="Z9" i="9"/>
  <c r="L6" i="22" s="1"/>
  <c r="N8" i="21"/>
  <c r="AA11" i="11"/>
  <c r="N8" i="22" s="1"/>
  <c r="I9" i="21"/>
  <c r="AA12" i="6"/>
  <c r="I9" i="22" s="1"/>
  <c r="I8" i="21"/>
  <c r="AA11" i="6"/>
  <c r="I8" i="22" s="1"/>
  <c r="V8" i="21"/>
  <c r="AA11" i="19"/>
  <c r="V8" i="22" s="1"/>
  <c r="N9" i="21"/>
  <c r="AA12" i="11"/>
  <c r="N9" i="22" s="1"/>
  <c r="L8" i="21"/>
  <c r="Z11" i="9"/>
  <c r="L8" i="22" s="1"/>
  <c r="H9" i="21"/>
  <c r="AL12" i="5"/>
  <c r="H9" i="22" s="1"/>
  <c r="H8" i="21"/>
  <c r="AL11" i="5"/>
  <c r="H8" i="22" s="1"/>
  <c r="V9" i="21"/>
  <c r="AA12" i="19"/>
  <c r="V9" i="22" s="1"/>
  <c r="R11" i="21"/>
  <c r="AL14" i="15"/>
  <c r="R11" i="22" s="1"/>
  <c r="L11" i="21"/>
  <c r="Z14" i="9"/>
  <c r="L11" i="22" s="1"/>
  <c r="I7" i="21"/>
  <c r="AA10" i="6"/>
  <c r="I7" i="22" s="1"/>
  <c r="H11" i="21"/>
  <c r="AL14" i="5"/>
  <c r="H11" i="22" s="1"/>
  <c r="N7" i="21"/>
  <c r="AA10" i="11"/>
  <c r="N7" i="22" s="1"/>
  <c r="N11" i="21"/>
  <c r="AA14" i="11"/>
  <c r="N11" i="22" s="1"/>
  <c r="H7" i="21"/>
  <c r="AL10" i="5"/>
  <c r="H7" i="22" s="1"/>
  <c r="V7" i="21"/>
  <c r="AA10" i="19"/>
  <c r="V7" i="22" s="1"/>
  <c r="I11" i="21"/>
  <c r="AA14" i="6"/>
  <c r="I11" i="22" s="1"/>
  <c r="R7" i="21"/>
  <c r="AL10" i="15"/>
  <c r="R7" i="22" s="1"/>
  <c r="V11" i="21"/>
  <c r="AA14" i="19"/>
  <c r="V11" i="22" s="1"/>
  <c r="V12" i="21"/>
  <c r="AA15" i="19"/>
  <c r="V12" i="22" s="1"/>
  <c r="N12" i="21"/>
  <c r="AA15" i="11"/>
  <c r="N12" i="22" s="1"/>
  <c r="R12" i="21"/>
  <c r="AL15" i="15"/>
  <c r="R12" i="22" s="1"/>
  <c r="H12" i="21"/>
  <c r="AL15" i="5"/>
  <c r="H12" i="22" s="1"/>
  <c r="L12" i="21"/>
  <c r="Z15" i="9"/>
  <c r="L12" i="22" s="1"/>
  <c r="AA15" i="6"/>
  <c r="I12" i="22" s="1"/>
  <c r="H10" i="21"/>
  <c r="AL13" i="5"/>
  <c r="H10" i="22" s="1"/>
  <c r="L10" i="21"/>
  <c r="Z13" i="9"/>
  <c r="L10" i="22" s="1"/>
  <c r="I10" i="21"/>
  <c r="AA13" i="6"/>
  <c r="I10" i="22" s="1"/>
  <c r="V16" i="4"/>
  <c r="Y16" i="4" s="1"/>
  <c r="V13" i="21"/>
  <c r="AA16" i="19"/>
  <c r="V13" i="22" s="1"/>
  <c r="V10" i="21"/>
  <c r="AA13" i="19"/>
  <c r="V10" i="22" s="1"/>
  <c r="N10" i="21"/>
  <c r="AA13" i="11"/>
  <c r="N10" i="22" s="1"/>
  <c r="J7" i="21"/>
  <c r="AA10" i="7"/>
  <c r="J7" i="22" s="1"/>
  <c r="J10" i="21"/>
  <c r="AA13" i="7"/>
  <c r="J10" i="22" s="1"/>
  <c r="AH9" i="6"/>
  <c r="AI9" i="6" s="1"/>
  <c r="AL9" i="6" s="1"/>
  <c r="AH9" i="12"/>
  <c r="AI9" i="12" s="1"/>
  <c r="AH17" i="12"/>
  <c r="AI17" i="12" s="1"/>
  <c r="AD16" i="7"/>
  <c r="F9" i="30"/>
  <c r="G9" i="30" s="1"/>
  <c r="AK9" i="9"/>
  <c r="Z9" i="20"/>
  <c r="AA9" i="20"/>
  <c r="Z9" i="17"/>
  <c r="AA9" i="17"/>
  <c r="W10" i="18"/>
  <c r="X10" i="18" s="1"/>
  <c r="AA10" i="18" s="1"/>
  <c r="W11" i="17"/>
  <c r="X11" i="17" s="1"/>
  <c r="AA11" i="17" s="1"/>
  <c r="W12" i="18"/>
  <c r="X12" i="18" s="1"/>
  <c r="AA12" i="18" s="1"/>
  <c r="AH9" i="19"/>
  <c r="AI9" i="19" s="1"/>
  <c r="AL9" i="19" s="1"/>
  <c r="W13" i="17"/>
  <c r="X13" i="17" s="1"/>
  <c r="AA13" i="17" s="1"/>
  <c r="W14" i="18"/>
  <c r="X14" i="18" s="1"/>
  <c r="AA14" i="18" s="1"/>
  <c r="W12" i="17"/>
  <c r="X12" i="17" s="1"/>
  <c r="AA12" i="17" s="1"/>
  <c r="W11" i="18"/>
  <c r="X11" i="18" s="1"/>
  <c r="AA11" i="18" s="1"/>
  <c r="AH9" i="11"/>
  <c r="AI9" i="11" s="1"/>
  <c r="AL9" i="11" s="1"/>
  <c r="W13" i="18"/>
  <c r="X13" i="18" s="1"/>
  <c r="AA13" i="18" s="1"/>
  <c r="W9" i="16"/>
  <c r="X9" i="16" s="1"/>
  <c r="AA9" i="16" s="1"/>
  <c r="W14" i="17"/>
  <c r="X14" i="17" s="1"/>
  <c r="AA14" i="17" s="1"/>
  <c r="AH9" i="8"/>
  <c r="AI9" i="8" s="1"/>
  <c r="AL9" i="8" s="1"/>
  <c r="W9" i="18"/>
  <c r="X9" i="18" s="1"/>
  <c r="AA9" i="18" s="1"/>
  <c r="U8" i="14"/>
  <c r="V8" i="14" s="1"/>
  <c r="AF16" i="9"/>
  <c r="AB16" i="9" s="1"/>
  <c r="AO64" i="28"/>
  <c r="AF64" i="28"/>
  <c r="AS64" i="28"/>
  <c r="AW64" i="28"/>
  <c r="AA64" i="28"/>
  <c r="BA64" i="28"/>
  <c r="W64" i="28"/>
  <c r="AJ64" i="28"/>
  <c r="Y9" i="4"/>
  <c r="Z9" i="4" s="1"/>
  <c r="AT9" i="5"/>
  <c r="AW9" i="5" s="1"/>
  <c r="I6" i="21"/>
  <c r="I6" i="22"/>
  <c r="T16" i="18"/>
  <c r="K50" i="18"/>
  <c r="AF14" i="6"/>
  <c r="AC14" i="6"/>
  <c r="AD14" i="6" s="1"/>
  <c r="AF11" i="6"/>
  <c r="AC11" i="6"/>
  <c r="AD11" i="6" s="1"/>
  <c r="AF12" i="6"/>
  <c r="AC12" i="6"/>
  <c r="AD12" i="6" s="1"/>
  <c r="AF13" i="6"/>
  <c r="AC13" i="6"/>
  <c r="AD13" i="6" s="1"/>
  <c r="AF10" i="6"/>
  <c r="AC10" i="6"/>
  <c r="AD10" i="6" s="1"/>
  <c r="AE16" i="6"/>
  <c r="W16" i="6"/>
  <c r="Z16" i="6" s="1"/>
  <c r="H8" i="30" s="1"/>
  <c r="AI16" i="9"/>
  <c r="AK16" i="9" s="1"/>
  <c r="V16" i="10"/>
  <c r="Y16" i="10" s="1"/>
  <c r="AF16" i="10"/>
  <c r="AB16" i="10" s="1"/>
  <c r="AI16" i="10"/>
  <c r="AK16" i="10" s="1"/>
  <c r="AH16" i="15"/>
  <c r="AK16" i="15" s="1"/>
  <c r="H18" i="30" s="1"/>
  <c r="AI16" i="4"/>
  <c r="AF16" i="4"/>
  <c r="AB16" i="4" s="1"/>
  <c r="F6" i="30" s="1"/>
  <c r="G6" i="30" s="1"/>
  <c r="AG16" i="11"/>
  <c r="AC16" i="11" s="1"/>
  <c r="AG9" i="4"/>
  <c r="AD12" i="13"/>
  <c r="V12" i="13"/>
  <c r="Y12" i="13" s="1"/>
  <c r="AD11" i="13"/>
  <c r="V11" i="13"/>
  <c r="Y11" i="13" s="1"/>
  <c r="AJ16" i="11"/>
  <c r="T8" i="22"/>
  <c r="T8" i="21"/>
  <c r="T7" i="22"/>
  <c r="T7" i="21"/>
  <c r="T6" i="22"/>
  <c r="T6" i="21"/>
  <c r="AU16" i="5"/>
  <c r="AW16" i="5" s="1"/>
  <c r="AR16" i="5"/>
  <c r="AN16" i="5" s="1"/>
  <c r="AH16" i="5"/>
  <c r="T16" i="17"/>
  <c r="U10" i="17"/>
  <c r="R10" i="17"/>
  <c r="S10" i="17" s="1"/>
  <c r="AA14" i="8"/>
  <c r="K11" i="22" s="1"/>
  <c r="AN16" i="15"/>
  <c r="AQ16" i="15"/>
  <c r="AC12" i="12"/>
  <c r="AD12" i="12" s="1"/>
  <c r="AJ12" i="12"/>
  <c r="AL12" i="12" s="1"/>
  <c r="AC11" i="12"/>
  <c r="AD11" i="12" s="1"/>
  <c r="AJ11" i="12"/>
  <c r="AL11" i="12" s="1"/>
  <c r="BS13" i="12"/>
  <c r="K13" i="12"/>
  <c r="BS14" i="12"/>
  <c r="K15" i="12"/>
  <c r="Z12" i="7"/>
  <c r="K14" i="12"/>
  <c r="AJ9" i="10"/>
  <c r="Z11" i="10"/>
  <c r="M8" i="22" s="1"/>
  <c r="U9" i="21"/>
  <c r="W13" i="21"/>
  <c r="Z11" i="7"/>
  <c r="Z14" i="10"/>
  <c r="M11" i="22" s="1"/>
  <c r="M10" i="21"/>
  <c r="Z15" i="10"/>
  <c r="M12" i="22" s="1"/>
  <c r="Z12" i="10"/>
  <c r="M9" i="22" s="1"/>
  <c r="AA18" i="6"/>
  <c r="V18" i="4"/>
  <c r="AC9" i="4"/>
  <c r="R8" i="21"/>
  <c r="R8" i="22"/>
  <c r="Z9" i="10"/>
  <c r="M6" i="22" s="1"/>
  <c r="AA10" i="8"/>
  <c r="K7" i="22" s="1"/>
  <c r="AA15" i="8"/>
  <c r="K12" i="22" s="1"/>
  <c r="AA13" i="8"/>
  <c r="K10" i="22" s="1"/>
  <c r="AA12" i="8"/>
  <c r="K9" i="22" s="1"/>
  <c r="AA9" i="8"/>
  <c r="K6" i="22" s="1"/>
  <c r="I12" i="21"/>
  <c r="H23" i="6"/>
  <c r="W23" i="6" s="1"/>
  <c r="AN9" i="5"/>
  <c r="AO9" i="5" s="1"/>
  <c r="Z12" i="4"/>
  <c r="G10" i="22" s="1"/>
  <c r="G9" i="21"/>
  <c r="R9" i="22"/>
  <c r="R9" i="21"/>
  <c r="R10" i="22"/>
  <c r="R10" i="21"/>
  <c r="J12" i="22"/>
  <c r="J12" i="21"/>
  <c r="L9" i="22"/>
  <c r="L9" i="21"/>
  <c r="J11" i="22"/>
  <c r="J11" i="21"/>
  <c r="L7" i="22"/>
  <c r="L7" i="21"/>
  <c r="AC9" i="10"/>
  <c r="AC9" i="6"/>
  <c r="AD9" i="6" s="1"/>
  <c r="AC9" i="7"/>
  <c r="AD9" i="7" s="1"/>
  <c r="AB9" i="9"/>
  <c r="AC9" i="9" s="1"/>
  <c r="Z16" i="8"/>
  <c r="H11" i="30" s="1"/>
  <c r="AN9" i="15"/>
  <c r="AO9" i="15" s="1"/>
  <c r="Z13" i="4"/>
  <c r="G11" i="22" s="1"/>
  <c r="Z11" i="4"/>
  <c r="G9" i="22" s="1"/>
  <c r="Z14" i="4"/>
  <c r="G12" i="22" s="1"/>
  <c r="N8" i="2"/>
  <c r="E13" i="22" s="1"/>
  <c r="AQ9" i="15"/>
  <c r="Z11" i="12"/>
  <c r="AS17" i="12"/>
  <c r="U11" i="22"/>
  <c r="N13" i="21"/>
  <c r="L13" i="21"/>
  <c r="Z10" i="4"/>
  <c r="G8" i="22" s="1"/>
  <c r="J13" i="21"/>
  <c r="Z10" i="10"/>
  <c r="M7" i="22" s="1"/>
  <c r="AF9" i="7"/>
  <c r="K9" i="12"/>
  <c r="AR17" i="12"/>
  <c r="AK9" i="15"/>
  <c r="BS11" i="12"/>
  <c r="BS10" i="12"/>
  <c r="K10" i="12"/>
  <c r="Z12" i="12"/>
  <c r="AA11" i="8"/>
  <c r="K8" i="22" s="1"/>
  <c r="BS17" i="12" l="1"/>
  <c r="BU17" i="12"/>
  <c r="H21" i="30"/>
  <c r="U13" i="21"/>
  <c r="P16" i="18"/>
  <c r="U13" i="22" s="1"/>
  <c r="H20" i="30"/>
  <c r="T13" i="21"/>
  <c r="P16" i="17"/>
  <c r="T13" i="22" s="1"/>
  <c r="AG17" i="12"/>
  <c r="W17" i="12"/>
  <c r="BT17" i="12"/>
  <c r="G7" i="22"/>
  <c r="G6" i="22"/>
  <c r="Z16" i="10"/>
  <c r="M13" i="22" s="1"/>
  <c r="H13" i="30"/>
  <c r="G13" i="21"/>
  <c r="H6" i="30"/>
  <c r="R6" i="21"/>
  <c r="AL9" i="15"/>
  <c r="R6" i="22" s="1"/>
  <c r="O8" i="21"/>
  <c r="AA11" i="12"/>
  <c r="O8" i="22" s="1"/>
  <c r="P8" i="21"/>
  <c r="Z11" i="13"/>
  <c r="P8" i="22" s="1"/>
  <c r="P9" i="21"/>
  <c r="Z12" i="13"/>
  <c r="P9" i="22" s="1"/>
  <c r="O9" i="21"/>
  <c r="AA12" i="12"/>
  <c r="O9" i="22" s="1"/>
  <c r="R13" i="21"/>
  <c r="AL16" i="15"/>
  <c r="R13" i="22" s="1"/>
  <c r="I13" i="21"/>
  <c r="AA16" i="6"/>
  <c r="I13" i="22" s="1"/>
  <c r="AA12" i="7"/>
  <c r="J9" i="22" s="1"/>
  <c r="J8" i="21"/>
  <c r="AA11" i="7"/>
  <c r="J8" i="22" s="1"/>
  <c r="AH14" i="6"/>
  <c r="AI14" i="6" s="1"/>
  <c r="AH10" i="6"/>
  <c r="AI10" i="6" s="1"/>
  <c r="AH11" i="6"/>
  <c r="AI11" i="6" s="1"/>
  <c r="AH13" i="6"/>
  <c r="AI13" i="6" s="1"/>
  <c r="AH12" i="6"/>
  <c r="AI12" i="6" s="1"/>
  <c r="AD16" i="11"/>
  <c r="F14" i="30"/>
  <c r="G14" i="30" s="1"/>
  <c r="AC16" i="9"/>
  <c r="F12" i="30"/>
  <c r="G12" i="30" s="1"/>
  <c r="AO16" i="15"/>
  <c r="F18" i="30"/>
  <c r="G18" i="30" s="1"/>
  <c r="AC16" i="10"/>
  <c r="F13" i="30"/>
  <c r="G13" i="30" s="1"/>
  <c r="AO16" i="5"/>
  <c r="F7" i="30"/>
  <c r="G7" i="30" s="1"/>
  <c r="AK16" i="11"/>
  <c r="AL16" i="11"/>
  <c r="Z9" i="18"/>
  <c r="Z13" i="17"/>
  <c r="Z9" i="16"/>
  <c r="AK9" i="19"/>
  <c r="AK9" i="11"/>
  <c r="Z12" i="17"/>
  <c r="Z12" i="18"/>
  <c r="Z14" i="17"/>
  <c r="Z13" i="18"/>
  <c r="Z11" i="18"/>
  <c r="Z14" i="18"/>
  <c r="Z11" i="17"/>
  <c r="Z10" i="18"/>
  <c r="W10" i="17"/>
  <c r="X10" i="17" s="1"/>
  <c r="AA10" i="17" s="1"/>
  <c r="AS9" i="15"/>
  <c r="AT9" i="15" s="1"/>
  <c r="AW9" i="15" s="1"/>
  <c r="AS16" i="15"/>
  <c r="AT16" i="15" s="1"/>
  <c r="AW16" i="15" s="1"/>
  <c r="AH9" i="7"/>
  <c r="AI9" i="7" s="1"/>
  <c r="AL9" i="7" s="1"/>
  <c r="Y8" i="14"/>
  <c r="X8" i="14"/>
  <c r="AH9" i="4"/>
  <c r="AK9" i="4" s="1"/>
  <c r="M13" i="21"/>
  <c r="AK16" i="5"/>
  <c r="H7" i="30" s="1"/>
  <c r="AV9" i="5"/>
  <c r="G6" i="21"/>
  <c r="U16" i="18"/>
  <c r="R16" i="18"/>
  <c r="AF16" i="6"/>
  <c r="AC16" i="6"/>
  <c r="AJ16" i="9"/>
  <c r="AJ16" i="10"/>
  <c r="AD13" i="13"/>
  <c r="V13" i="13"/>
  <c r="Y13" i="13" s="1"/>
  <c r="AD10" i="13"/>
  <c r="V10" i="13"/>
  <c r="Y10" i="13" s="1"/>
  <c r="U16" i="13"/>
  <c r="AD9" i="13"/>
  <c r="V9" i="13"/>
  <c r="AD14" i="13"/>
  <c r="V14" i="13"/>
  <c r="Y14" i="13" s="1"/>
  <c r="Z13" i="12"/>
  <c r="AE11" i="13"/>
  <c r="AB11" i="13"/>
  <c r="AC11" i="13" s="1"/>
  <c r="AD15" i="13"/>
  <c r="V15" i="13"/>
  <c r="Y15" i="13" s="1"/>
  <c r="AE12" i="13"/>
  <c r="AB12" i="13"/>
  <c r="AC12" i="13" s="1"/>
  <c r="J9" i="21"/>
  <c r="AV16" i="5"/>
  <c r="U16" i="17"/>
  <c r="R16" i="17"/>
  <c r="AC10" i="12"/>
  <c r="AD10" i="12" s="1"/>
  <c r="AJ10" i="12"/>
  <c r="AL10" i="12" s="1"/>
  <c r="AJ14" i="12"/>
  <c r="AL14" i="12" s="1"/>
  <c r="AC14" i="12"/>
  <c r="AD14" i="12" s="1"/>
  <c r="AC13" i="12"/>
  <c r="AD13" i="12" s="1"/>
  <c r="AJ13" i="12"/>
  <c r="AL13" i="12" s="1"/>
  <c r="AK11" i="12"/>
  <c r="Z15" i="12"/>
  <c r="AC15" i="12"/>
  <c r="AD15" i="12" s="1"/>
  <c r="AJ15" i="12"/>
  <c r="AL15" i="12" s="1"/>
  <c r="AJ9" i="12"/>
  <c r="AL9" i="12" s="1"/>
  <c r="AC9" i="12"/>
  <c r="AD9" i="12" s="1"/>
  <c r="AK12" i="12"/>
  <c r="Z14" i="12"/>
  <c r="AA14" i="12" s="1"/>
  <c r="Z16" i="4"/>
  <c r="G13" i="22" s="1"/>
  <c r="AK9" i="6"/>
  <c r="K13" i="21"/>
  <c r="AA16" i="8"/>
  <c r="K13" i="22" s="1"/>
  <c r="AK9" i="8"/>
  <c r="AJ9" i="9"/>
  <c r="BE12" i="12"/>
  <c r="Z9" i="7"/>
  <c r="Z10" i="12"/>
  <c r="K17" i="12"/>
  <c r="Z9" i="12"/>
  <c r="AA9" i="12" s="1"/>
  <c r="BE11" i="12"/>
  <c r="P11" i="21" l="1"/>
  <c r="Z14" i="13"/>
  <c r="P11" i="22" s="1"/>
  <c r="P7" i="21"/>
  <c r="Z10" i="13"/>
  <c r="P7" i="22" s="1"/>
  <c r="O7" i="21"/>
  <c r="AA10" i="12"/>
  <c r="P12" i="21"/>
  <c r="Z15" i="13"/>
  <c r="O12" i="21"/>
  <c r="AA15" i="12"/>
  <c r="AL16" i="5"/>
  <c r="H13" i="22" s="1"/>
  <c r="P10" i="21"/>
  <c r="Z13" i="13"/>
  <c r="P10" i="22" s="1"/>
  <c r="O10" i="21"/>
  <c r="AA13" i="12"/>
  <c r="O10" i="22" s="1"/>
  <c r="J6" i="21"/>
  <c r="AA9" i="7"/>
  <c r="AL10" i="6"/>
  <c r="AK10" i="6"/>
  <c r="AL12" i="6"/>
  <c r="AK12" i="6"/>
  <c r="AL13" i="6"/>
  <c r="AK13" i="6"/>
  <c r="AL11" i="6"/>
  <c r="AK11" i="6"/>
  <c r="AL14" i="6"/>
  <c r="AK14" i="6"/>
  <c r="AH16" i="6"/>
  <c r="AI16" i="6" s="1"/>
  <c r="AD16" i="6"/>
  <c r="F8" i="30"/>
  <c r="G8" i="30" s="1"/>
  <c r="S16" i="18"/>
  <c r="F21" i="30"/>
  <c r="G21" i="30" s="1"/>
  <c r="S16" i="17"/>
  <c r="F20" i="30"/>
  <c r="G20" i="30" s="1"/>
  <c r="O6" i="21"/>
  <c r="O6" i="22"/>
  <c r="AV16" i="15"/>
  <c r="AK9" i="7"/>
  <c r="AV9" i="15"/>
  <c r="Z10" i="17"/>
  <c r="W16" i="17"/>
  <c r="X16" i="17" s="1"/>
  <c r="AA16" i="17" s="1"/>
  <c r="AG12" i="13"/>
  <c r="AH12" i="13" s="1"/>
  <c r="AK12" i="13" s="1"/>
  <c r="W16" i="18"/>
  <c r="X16" i="18" s="1"/>
  <c r="AA16" i="18" s="1"/>
  <c r="AG11" i="13"/>
  <c r="AH11" i="13" s="1"/>
  <c r="AK11" i="13" s="1"/>
  <c r="H13" i="21"/>
  <c r="AJ9" i="4"/>
  <c r="P12" i="22"/>
  <c r="X9" i="22"/>
  <c r="X9" i="21" s="1"/>
  <c r="BE13" i="12"/>
  <c r="AE14" i="13"/>
  <c r="AB14" i="13"/>
  <c r="AC14" i="13" s="1"/>
  <c r="AD16" i="13"/>
  <c r="V16" i="13"/>
  <c r="Y16" i="13" s="1"/>
  <c r="AE10" i="13"/>
  <c r="AB10" i="13"/>
  <c r="AC10" i="13" s="1"/>
  <c r="AE15" i="13"/>
  <c r="AB15" i="13"/>
  <c r="AC15" i="13" s="1"/>
  <c r="AE13" i="13"/>
  <c r="AB13" i="13"/>
  <c r="AC13" i="13" s="1"/>
  <c r="X8" i="22"/>
  <c r="X8" i="21" s="1"/>
  <c r="O12" i="22"/>
  <c r="AK13" i="12"/>
  <c r="AK14" i="12"/>
  <c r="AK10" i="12"/>
  <c r="Z17" i="12"/>
  <c r="H15" i="30" s="1"/>
  <c r="AJ17" i="12"/>
  <c r="AL17" i="12" s="1"/>
  <c r="AC17" i="12"/>
  <c r="AK15" i="12"/>
  <c r="O11" i="21"/>
  <c r="BE14" i="12"/>
  <c r="BF12" i="12"/>
  <c r="BE9" i="12"/>
  <c r="BF11" i="12"/>
  <c r="Y9" i="13"/>
  <c r="Z9" i="13" s="1"/>
  <c r="AK9" i="12"/>
  <c r="J6" i="22"/>
  <c r="BE10" i="12"/>
  <c r="O7" i="22"/>
  <c r="Z16" i="13" l="1"/>
  <c r="P13" i="22" s="1"/>
  <c r="H16" i="30"/>
  <c r="AA17" i="12"/>
  <c r="O13" i="22" s="1"/>
  <c r="AL16" i="6"/>
  <c r="AK16" i="6"/>
  <c r="AD17" i="12"/>
  <c r="F15" i="30"/>
  <c r="G15" i="30" s="1"/>
  <c r="AJ11" i="13"/>
  <c r="AJ12" i="13"/>
  <c r="Z16" i="18"/>
  <c r="Z16" i="17"/>
  <c r="AG13" i="13"/>
  <c r="AH13" i="13" s="1"/>
  <c r="AG15" i="13"/>
  <c r="AH15" i="13" s="1"/>
  <c r="AK15" i="13" s="1"/>
  <c r="AG14" i="13"/>
  <c r="AH14" i="13" s="1"/>
  <c r="AK14" i="13" s="1"/>
  <c r="AG10" i="13"/>
  <c r="AH10" i="13" s="1"/>
  <c r="AK10" i="13" s="1"/>
  <c r="BF13" i="12"/>
  <c r="X12" i="22"/>
  <c r="X12" i="21" s="1"/>
  <c r="X10" i="22"/>
  <c r="X10" i="21" s="1"/>
  <c r="P6" i="21"/>
  <c r="P6" i="22"/>
  <c r="X7" i="22"/>
  <c r="X7" i="21" s="1"/>
  <c r="AE16" i="13"/>
  <c r="AB16" i="13"/>
  <c r="AK17" i="12"/>
  <c r="O11" i="22"/>
  <c r="X11" i="22" s="1"/>
  <c r="X11" i="21" s="1"/>
  <c r="BF14" i="12"/>
  <c r="BF9" i="12"/>
  <c r="AE9" i="13"/>
  <c r="AB9" i="13"/>
  <c r="AC9" i="13" s="1"/>
  <c r="BF10" i="12"/>
  <c r="P13" i="21"/>
  <c r="AC16" i="13" l="1"/>
  <c r="F16" i="30"/>
  <c r="G16" i="30" s="1"/>
  <c r="AK13" i="13"/>
  <c r="AJ13" i="13"/>
  <c r="AJ14" i="13"/>
  <c r="AJ10" i="13"/>
  <c r="AJ15" i="13"/>
  <c r="AG16" i="13"/>
  <c r="AH16" i="13" s="1"/>
  <c r="AK16" i="13" s="1"/>
  <c r="AG9" i="13"/>
  <c r="AH9" i="13" s="1"/>
  <c r="AK9" i="13" s="1"/>
  <c r="AJ9" i="13" l="1"/>
  <c r="AJ16" i="13"/>
  <c r="AE16" i="4"/>
  <c r="AG16" i="4" s="1"/>
  <c r="AH16" i="4" s="1"/>
  <c r="AC16" i="4" l="1"/>
  <c r="AJ16" i="4"/>
  <c r="AK16" i="4"/>
  <c r="J13" i="22" l="1"/>
  <c r="U6" i="26"/>
  <c r="I9" i="16" s="1"/>
  <c r="R9" i="16" l="1"/>
  <c r="S9" i="16" s="1"/>
  <c r="I16" i="16"/>
  <c r="O9" i="16"/>
  <c r="S6" i="21" l="1"/>
  <c r="P9" i="16"/>
  <c r="S6" i="22" s="1"/>
  <c r="X6" i="22" s="1"/>
  <c r="X6" i="21" s="1"/>
  <c r="O16" i="16"/>
  <c r="R16" i="16"/>
  <c r="H19" i="30" l="1"/>
  <c r="P16" i="16"/>
  <c r="S13" i="22" s="1"/>
  <c r="X13" i="22" s="1"/>
  <c r="X13" i="21" s="1"/>
  <c r="S13" i="21"/>
  <c r="F19" i="30"/>
  <c r="G19" i="30" s="1"/>
  <c r="S16" i="16"/>
</calcChain>
</file>

<file path=xl/sharedStrings.xml><?xml version="1.0" encoding="utf-8"?>
<sst xmlns="http://schemas.openxmlformats.org/spreadsheetml/2006/main" count="2435" uniqueCount="541">
  <si>
    <t>INDICE ACTIVIDAD ATENCION PRIMARIA DE SALUD (IAAPS)</t>
  </si>
  <si>
    <t>SERVICIO DE SALUD VIÑA DEL MAR-QUILLOTA</t>
  </si>
  <si>
    <t xml:space="preserve">SERVICIO DE SALUD VIÑA DEL MAR - QUILLOTA                                        </t>
  </si>
  <si>
    <t>META 2.1 Nº establecimientos funcionando de 8:00 am a 20:00 horas de lunes a viernes y sábados de 9 a 13 horas   Meta =100%</t>
  </si>
  <si>
    <t>NUMERADOR</t>
  </si>
  <si>
    <t>DENOMINADOR</t>
  </si>
  <si>
    <r>
      <rPr>
        <b/>
        <sz val="10"/>
        <rFont val="Arial"/>
        <family val="2"/>
      </rPr>
      <t>%  Cumplimiento</t>
    </r>
    <r>
      <rPr>
        <b/>
        <sz val="12"/>
        <rFont val="Arial"/>
        <family val="2"/>
      </rPr>
      <t xml:space="preserve">
 (A)</t>
    </r>
  </si>
  <si>
    <t>% Cumplimiento</t>
  </si>
  <si>
    <t>COMUNAS</t>
  </si>
  <si>
    <t>Establecimientos evaluados</t>
  </si>
  <si>
    <t>Establecimientos comprometidos</t>
  </si>
  <si>
    <t>Anual</t>
  </si>
  <si>
    <t>Para el Período
( 100% de la meta anual) (B)</t>
  </si>
  <si>
    <t>Del Indicador (A/B)*100</t>
  </si>
  <si>
    <t>Del Indicador Ponderado (4,17%)</t>
  </si>
  <si>
    <t>QUILPUE</t>
  </si>
  <si>
    <t>H. LIMACHE</t>
  </si>
  <si>
    <t>H.CABILDO</t>
  </si>
  <si>
    <t>H. PETORCA</t>
  </si>
  <si>
    <t>H. QUINTERO</t>
  </si>
  <si>
    <t>SERV.SALUD</t>
  </si>
  <si>
    <t>Concon</t>
  </si>
  <si>
    <t>Puchuncavi</t>
  </si>
  <si>
    <t>Quintero</t>
  </si>
  <si>
    <t>V. del Mar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</si>
  <si>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</si>
  <si>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</si>
  <si>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</si>
  <si>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</si>
  <si>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</si>
  <si>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</si>
  <si>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</si>
  <si>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</si>
  <si>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</si>
  <si>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</si>
  <si>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Quilpue</t>
  </si>
  <si>
    <t>Olmue</t>
  </si>
  <si>
    <t>Valemana</t>
  </si>
  <si>
    <t xml:space="preserve">META 2.2  Nº de establecimientos con 100% de disponibilidad de  fármacos trazadores </t>
  </si>
  <si>
    <t xml:space="preserve">Disponibilidad de  fármacos trazadores </t>
  </si>
  <si>
    <t>Disponibilidad de  fármacos trazadores  comprometidos</t>
  </si>
  <si>
    <t>N° de consultas de morbilidad y controles realizadas por  médicos</t>
  </si>
  <si>
    <t>Población inscrita</t>
  </si>
  <si>
    <t>Para el Período
(60 % de la meta anual) (B)</t>
  </si>
  <si>
    <t>Del Indicador Ponderado (6,25%)</t>
  </si>
  <si>
    <t>( E /meses a
programar)</t>
  </si>
  <si>
    <t xml:space="preserve">mes de corte </t>
  </si>
  <si>
    <t>Meta dispuesta
por resolución</t>
  </si>
  <si>
    <t>(F/D) * 100</t>
  </si>
  <si>
    <t>(B/A)*100</t>
  </si>
  <si>
    <t>Denominador
general sin
porcentaje de
meta</t>
  </si>
  <si>
    <t>(D*A)</t>
  </si>
  <si>
    <t>Total del
numerador</t>
  </si>
  <si>
    <t>(G * numero de
mes corte)</t>
  </si>
  <si>
    <t>Suma del
numerador al mes
de corte</t>
  </si>
  <si>
    <t>(I / H) *100</t>
  </si>
  <si>
    <t>(H - I)</t>
  </si>
  <si>
    <t>META ANUAL</t>
  </si>
  <si>
    <t>CUMPLIMIENTO
META GLOBAL</t>
  </si>
  <si>
    <t>CUMPLIMIENTO
META GLOBAL A
ESCALA DEL
100%</t>
  </si>
  <si>
    <t>DENOMINADOR
NUMERICO
BRUTO</t>
  </si>
  <si>
    <t>META
NUMERICA
ANUAL</t>
  </si>
  <si>
    <t>REALIZADO
NUMERICO
GLOBAL</t>
  </si>
  <si>
    <t>META
NUMERICA
MENSUAL</t>
  </si>
  <si>
    <t>META
NUMERICA AL
CORTE ACTUAL</t>
  </si>
  <si>
    <t>REALIZADO AL
CORTE ACTUAL</t>
  </si>
  <si>
    <t>PORCENTAJE
CUMPLIMIENTO
AL CORTE</t>
  </si>
  <si>
    <t>BRECHA AL
CORTE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</si>
  <si>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</si>
  <si>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</si>
  <si>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</si>
  <si>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</si>
  <si>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</si>
  <si>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</si>
  <si>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</si>
  <si>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</si>
  <si>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</si>
  <si>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</si>
  <si>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</si>
  <si>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Nro.  Control  y  Consulta Médica generadas en APS menos N° SIC  de  Control</t>
  </si>
  <si>
    <t>N° total de consultas  y controles por médico en APS</t>
  </si>
  <si>
    <t>Para el Período
(100 % de la meta anual) (B)</t>
  </si>
  <si>
    <t>Del Indicador Ponderado (5,21%)</t>
  </si>
  <si>
    <r>
      <rPr>
        <b/>
        <sz val="10"/>
        <rFont val="Arial"/>
        <family val="2"/>
      </rPr>
      <t>Tasa  Cumplimiento</t>
    </r>
    <r>
      <rPr>
        <b/>
        <sz val="12"/>
        <rFont val="Arial"/>
        <family val="2"/>
      </rPr>
      <t xml:space="preserve">
 (A)</t>
    </r>
  </si>
  <si>
    <t>Nº de visitas domiciliarias integrales realizadas</t>
  </si>
  <si>
    <t>Nº de familias (pobl.inscrita / 3,3 )</t>
  </si>
  <si>
    <t>ex+in+-eg</t>
  </si>
  <si>
    <t>r</t>
  </si>
  <si>
    <t>COBERTURA EXAMEN DE MEDICINA PREVENTIVA (EMP),  HOMBRES-mujeresDE 20 A 64 AÑOS año 2023</t>
  </si>
  <si>
    <t>Total de la población de hombres y mujeres de  20 a 64 años inscrita - Población bajo control en PSCV</t>
  </si>
  <si>
    <t>Población de 20 a 64 años inscrita</t>
  </si>
  <si>
    <t>Nº de adultos de 65 y más años, con examen de medicina preventiva</t>
  </si>
  <si>
    <t>Nº de adultos de 65 y más años inscritos</t>
  </si>
  <si>
    <t>COD_EST</t>
  </si>
  <si>
    <t>NOM__ESTAB</t>
  </si>
  <si>
    <t>C. Quilpué</t>
  </si>
  <si>
    <t>C. El Belloto</t>
  </si>
  <si>
    <t>Cesfam Alcalde Iván Manríquez</t>
  </si>
  <si>
    <t>Cesfam. Aviador  Acevedo</t>
  </si>
  <si>
    <t>Cesfam. Pompeya</t>
  </si>
  <si>
    <t>PSR. Colliguay</t>
  </si>
  <si>
    <t>El Retiro</t>
  </si>
  <si>
    <t>Niños(as) 12 a 23 meses con evaluación del Desarrollo Psicomotor</t>
  </si>
  <si>
    <t>Nº total de Niños y Niñas entre 12 a 23 meses bajo control</t>
  </si>
  <si>
    <t>Población Inscrita 
10-19 Años</t>
  </si>
  <si>
    <t>Consultas de morbilidad odontológica realizadas en población de 0 a 19 años</t>
  </si>
  <si>
    <t>Población inscrita de 0 a 19 años</t>
  </si>
  <si>
    <t>at</t>
  </si>
  <si>
    <t>bh</t>
  </si>
  <si>
    <t>Según Prevalencia</t>
  </si>
  <si>
    <t>Personas  con trastornos mentales y condicionantes  de salud    mental bajo control  de  0  y  más años</t>
  </si>
  <si>
    <t>Personas con trastornos mentales y condicionantes salud  mental  de  0  y más  años  esperados según prevalencia (22%)</t>
  </si>
  <si>
    <t>Del Indicador Ponderado (6,25%*0,90%)</t>
  </si>
  <si>
    <t xml:space="preserve">Ingresos </t>
  </si>
  <si>
    <t>Egresos</t>
  </si>
  <si>
    <t>Meta Año 2018</t>
  </si>
  <si>
    <t>Meta Año 2019</t>
  </si>
  <si>
    <t>Incremento 
Anual- periodo
  2019-2018</t>
  </si>
  <si>
    <t>Incremento periodo 15%</t>
  </si>
  <si>
    <t>Meta Período 2019</t>
  </si>
  <si>
    <t>DEIS-MINSAL</t>
  </si>
  <si>
    <t>Población en control de 5 y más años con trastorno mental</t>
  </si>
  <si>
    <t>Ingreso de población de 5 y más años con trastorno mental</t>
  </si>
  <si>
    <t>Egresode población de 5 y más años con trastorno mental</t>
  </si>
  <si>
    <t>Con Con</t>
  </si>
  <si>
    <t>N° de personas inscritas de los grupos objetivos vacunados con antiinfluenza</t>
  </si>
  <si>
    <t>Total de población inscrita de los grupos objetivos</t>
  </si>
  <si>
    <t>Total de mujeres embarazadas ingresadas a control</t>
  </si>
  <si>
    <t xml:space="preserve">Adolescentes de 15 a19 años inscritos que usan métodos regulación fertilidad </t>
  </si>
  <si>
    <t>Total adolescentes de 15 a19 años inscritos</t>
  </si>
  <si>
    <t>Diabéticos de 15 y más años esperados según prevalencia</t>
  </si>
  <si>
    <t>N° de personas de 15 y más años con  hipertensión arterial bajo control</t>
  </si>
  <si>
    <t>Hipertensos de 15 y más años,esperados según prevalencia</t>
  </si>
  <si>
    <t xml:space="preserve">N º de niños y niñas menores de 3 años con registro 
ceod= 0 </t>
  </si>
  <si>
    <t xml:space="preserve"> N° de niñas y niños menores de 3 años inscritos</t>
  </si>
  <si>
    <t>N° de niños y niñas menores de   6   años   con   estado nutricional  normal</t>
  </si>
  <si>
    <t xml:space="preserve"> N°  de  niñas y niños menores de 6 años inscritos</t>
  </si>
  <si>
    <t>CUMPLIMIENTO DEL INDICADOR</t>
  </si>
  <si>
    <t>Total Cumpli
miento en actividades</t>
  </si>
  <si>
    <t>META 1.0</t>
  </si>
  <si>
    <t>META 2.1</t>
  </si>
  <si>
    <t>META 2.2</t>
  </si>
  <si>
    <t>META 3</t>
  </si>
  <si>
    <t>META 4</t>
  </si>
  <si>
    <t>META 5</t>
  </si>
  <si>
    <t>META 6.1</t>
  </si>
  <si>
    <t>META 6.2</t>
  </si>
  <si>
    <t>META 7</t>
  </si>
  <si>
    <t>META 8</t>
  </si>
  <si>
    <t>META 9</t>
  </si>
  <si>
    <t>META 10A</t>
  </si>
  <si>
    <t>META 10B</t>
  </si>
  <si>
    <t>META 12</t>
  </si>
  <si>
    <t>META 13</t>
  </si>
  <si>
    <t>META 14</t>
  </si>
  <si>
    <t>META 15</t>
  </si>
  <si>
    <t>META 16</t>
  </si>
  <si>
    <t>META 17</t>
  </si>
  <si>
    <t>META 18</t>
  </si>
  <si>
    <t>Estableci
mientos funcionando Horario continuado</t>
  </si>
  <si>
    <t xml:space="preserve">Establecimientos con 100% disponibilidad fármacos trazadores </t>
  </si>
  <si>
    <t>Tasa de consultas de morbilidad</t>
  </si>
  <si>
    <t>Porcentaje de consultas y controles resueltos</t>
  </si>
  <si>
    <t>Tasa de Visita domiciliaria Integral</t>
  </si>
  <si>
    <t>Cobertura Examen Medicina Preventiva personas
  20-64 años</t>
  </si>
  <si>
    <t>Cobertura Examen Medicina Preventiva personas  65+años</t>
  </si>
  <si>
    <t>Cobertura evaluación desarrollo psicomotor en  niños/as de 12 a 23 meses</t>
  </si>
  <si>
    <t>Cobertura Control Salud Integral a adolescentes de 10-14años</t>
  </si>
  <si>
    <t>Población de 7 a menos de  20  años  con alta odontológica total.</t>
  </si>
  <si>
    <t xml:space="preserve">Cobertura Atención  trastornos mentales personas de 5 y más años </t>
  </si>
  <si>
    <t>Cobertura de vacunación antiinfluenza</t>
  </si>
  <si>
    <t>Ingreso a control Embarazo antes de las 14 semanas</t>
  </si>
  <si>
    <t>Porcentaje  adolescentes inscritos de 15 a 19 años bajo control de regulación fertilidad</t>
  </si>
  <si>
    <t>Cobertura efectiva de Tratamiento en personas con Diabetes Mellitus 2</t>
  </si>
  <si>
    <t xml:space="preserve"> Cobertura efectiva de Tratamiento en personas, con Hipertensión Arterial </t>
  </si>
  <si>
    <t xml:space="preserve">Niñas y niños menores de 3 años libre de caries </t>
  </si>
  <si>
    <t>: Proporción de niñas y niños menores de 6 años con estado nutricional normal</t>
  </si>
  <si>
    <t>INDICADOR</t>
  </si>
  <si>
    <t>Establecimientos funcionando Horario continuado</t>
  </si>
  <si>
    <t>Cobertura Examen Medicina Preventiva hombres y mujeres
  20-64 años</t>
  </si>
  <si>
    <t>Cobertura Examen Medicina Preventiva hombres y mujeres 65+años</t>
  </si>
  <si>
    <t>Cobertura evaluación desarrollo psicomotor en  niños y niñas de 12 a 23 meses</t>
  </si>
  <si>
    <t>Proporción  de población de 7 a menos de  20  años  con alta odontológica total.</t>
  </si>
  <si>
    <t xml:space="preserve">Cobertura de Atención Integral de trastornos mentales en personas de 5 y más años </t>
  </si>
  <si>
    <t>Cobertura de vacunación anti influenza</t>
  </si>
  <si>
    <r>
      <t>EFAM
 65+AÑOS
REM02(</t>
    </r>
    <r>
      <rPr>
        <b/>
        <sz val="12"/>
        <rFont val="Calibri"/>
        <family val="2"/>
      </rPr>
      <t>Y21+ Z21+ AA21+ AB21+ AC21+ AD21+ AE21+ AF21)</t>
    </r>
  </si>
  <si>
    <t>INGRESOS EMBARAZADAS 
MENOR 14 SEMANAS  REM05 (C13)</t>
  </si>
  <si>
    <t>TOTAL INGRESOS EMBARAZADAS  REM05 (C11)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</si>
  <si>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</si>
  <si>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</si>
  <si>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</si>
  <si>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</si>
  <si>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</si>
  <si>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</si>
  <si>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</si>
  <si>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</si>
  <si>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</si>
  <si>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</si>
  <si>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</si>
  <si>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</si>
  <si>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</si>
  <si>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</si>
  <si>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</t>
  </si>
  <si>
    <t>TOTAL</t>
  </si>
  <si>
    <t>REM 04 CONSULTAS MEDICO APS  (B12)</t>
  </si>
  <si>
    <r>
      <t xml:space="preserve">REM07 SECCIÓN A.1: ATRIBUTOS DE LAS ATENCIONES DE ESPECIALIDAD
</t>
    </r>
    <r>
      <rPr>
        <b/>
        <sz val="12"/>
        <rFont val="Calibri"/>
        <family val="2"/>
      </rPr>
      <t xml:space="preserve"> (Z129+ Z130+ Z131+ AA129+ AAZ130+ AA131)</t>
    </r>
  </si>
  <si>
    <r>
      <t xml:space="preserve">REM 08 CONSULTAS MEDICO  URGENCIA REALIZADAS ESTABLECIMIENTOS  NO SAPU
</t>
    </r>
    <r>
      <rPr>
        <b/>
        <sz val="12"/>
        <rFont val="Calibri"/>
        <family val="2"/>
      </rPr>
      <t>SECCIÓN A.4: ATENCIONES DE URGENCIA REALIZADAS EN ESTABLECIMIENTOS  ATENCIÓN PRIMARIA NO SAPU (B40)</t>
    </r>
  </si>
  <si>
    <t>REM 023  CONSULTAS Y CONTROLES  MEDICO  EN SALAS IRA, ERA Y MIXTA
 (B62+B67)</t>
  </si>
  <si>
    <t>REM 032  ACTIVIDADES DE SALUD PRIORIZADAS, CONTEXTO DE EMERGENCIA SANITARIA
Celda B31+C137+C148</t>
  </si>
  <si>
    <t>TOTAL CONSULTAS Y CONTROLES MEDICOS</t>
  </si>
  <si>
    <t>ACTIVIDADES REM 
PARA INDICADORES IAAPS  A MARZO 2016</t>
  </si>
  <si>
    <t>INDICADOR 9: Consultas de morbilidad odontológica en población de 0 a 19 años rem09 (G12 a AB12)</t>
  </si>
  <si>
    <t>INDICADOR 17: Proporción de niñas y niños menores de 3 años libre de caries en población inscrita
 REM09( G48+ H48+ I48+ J48+ K48+ L48)</t>
  </si>
  <si>
    <r>
      <t xml:space="preserve">TOTAL Controles de atención Integral a personas con factores de riesgo, condicionantes de salud mental y trastornos mentales
</t>
    </r>
    <r>
      <rPr>
        <sz val="9"/>
        <rFont val="Calibri"/>
        <family val="2"/>
        <scheme val="minor"/>
      </rPr>
      <t>Rem6 Sección A.1 Celdas (C23+ C24) +Sección A.2  Celdas (E33)+Rem19a Sección A.3 Celdas (C110+ C112)+Rem26 Sección A Celdas (C30+ C31+ C32)+Rem32 Sección E.1 Celdas (B106+ B107+ B108)+Sección E.2 Celdas (C124+ C136)+ RemPa4 Sección A Celdas (B24)</t>
    </r>
  </si>
  <si>
    <t>Rem26 Sección A Celdas (C30+ C31) +(C38+ D38+ E38)</t>
  </si>
  <si>
    <t>Rem32 Sección F.1 Celdas (B130+ B131+ B132)+Sección F.2 Celdas (C147+ C158)</t>
  </si>
  <si>
    <t xml:space="preserve"> Rem  4 Sección A Celdas (B24)</t>
  </si>
  <si>
    <t xml:space="preserve">Hipertensos 15+años en control
</t>
  </si>
  <si>
    <t xml:space="preserve">Diabeticos 15+años en control
</t>
  </si>
  <si>
    <t>Población embarazadas 20-54 años en control</t>
  </si>
  <si>
    <t>Nombre Comuna</t>
  </si>
  <si>
    <t>Realizado año 2019</t>
  </si>
  <si>
    <t>Meta N° 3</t>
  </si>
  <si>
    <t>Meta N° 5</t>
  </si>
  <si>
    <t>Meta N° 6.2</t>
  </si>
  <si>
    <t>Meta N° 8</t>
  </si>
  <si>
    <t>Meta N° 9</t>
  </si>
  <si>
    <t>Meta N° 10</t>
  </si>
  <si>
    <t>Meta N° 14</t>
  </si>
  <si>
    <t>Meta N° 15 Diabetes</t>
  </si>
  <si>
    <t>Meta N° 16 Hipertensión</t>
  </si>
  <si>
    <t>Meta N° 17</t>
  </si>
  <si>
    <t>Meta N° 18</t>
  </si>
  <si>
    <t>Denominador: 
Poblacion
 Inscrita
 Validada</t>
  </si>
  <si>
    <t>Denominador: 
Poblacion
 Inscrita 
Validada / 3,3</t>
  </si>
  <si>
    <t>Población embarazada 20 a 54 años en control</t>
  </si>
  <si>
    <t>Denominador 6.2: 
Total de la población
 de hombres y mujeres
 de 65 y más años
 inscrita</t>
  </si>
  <si>
    <t>Denominador: 
Población adolescente de 10 a 14 años inscrita en el establecimiento de salud</t>
  </si>
  <si>
    <t>Denominador:
Total adolescentes
 de 15 a 19 años 
inscritos</t>
  </si>
  <si>
    <t>Total adolescentes
 de 10 a 19 años 
inscritos</t>
  </si>
  <si>
    <t>Población inscrita de 
0 a menos de 20 años</t>
  </si>
  <si>
    <t xml:space="preserve">Denominador:
Población estimada según Prevalencia
(Población inscrita validada FONASA  x 22%)
</t>
  </si>
  <si>
    <t>Población Inscrita
 Validada FONASA 
de 15-24 años</t>
  </si>
  <si>
    <t>Población Inscrita
 Validada FONASA 
de 25-44 años</t>
  </si>
  <si>
    <t>Población Inscrita
 Validada FONASA 
de 45-64 años</t>
  </si>
  <si>
    <t>Población Inscrita
 Validada FONASA
 de 65 y más años</t>
  </si>
  <si>
    <t xml:space="preserve">Denominador:
Población estimada según Prevalencia
(Población Inscrita Validada FONASA ( 1.8% entre 15 y 24 años, 6.3% entre 25 a 44 años, 18.3% entre 45 y 64 años y 30.6% para 65 años y más))
</t>
  </si>
  <si>
    <t>Denominador:
Población estimada según Prevalencia (Población Inscrita Validada FONASA (0.7%)  15 -24 años, (10.6%)  25 a 44 años, (45,1%)  45 a 64 años y  (73,3%) 65 y más años.</t>
  </si>
  <si>
    <t>Denominador:
N° de niñas y
 niños menores
 de 3 años inscritos</t>
  </si>
  <si>
    <t xml:space="preserve"> Población Inscrita Validada FONASA  menor de 6 años
</t>
  </si>
  <si>
    <r>
      <t>1.</t>
    </r>
    <r>
      <rPr>
        <b/>
        <sz val="7"/>
        <rFont val="Times New Roman"/>
        <family val="1"/>
      </rPr>
      <t xml:space="preserve">     </t>
    </r>
    <r>
      <rPr>
        <b/>
        <sz val="14"/>
        <rFont val="Calibri"/>
        <family val="2"/>
      </rPr>
      <t>Indicadores  de estrategia de redes integradas de Servicios de Salud (RISS)</t>
    </r>
  </si>
  <si>
    <t>Nº</t>
  </si>
  <si>
    <t>Indicador</t>
  </si>
  <si>
    <t>Fórmula</t>
  </si>
  <si>
    <t xml:space="preserve">Meta </t>
  </si>
  <si>
    <t>Importancia relativa %</t>
  </si>
  <si>
    <t>se evalua</t>
  </si>
  <si>
    <t xml:space="preserve">Ámbito RISS Modelo Asistencial:  Porcentaje de Centros de salud autoevaluados mediante Instrumento para la evaluación y certificación de desarrollo en el Modelo de Atención Integral de Salud Familiar y Comunitario (MAIS) vigente </t>
  </si>
  <si>
    <t>N° de Centros de Salud de la comuna autoevaluados mediante instrumento para la evaluación y certificación de desarrollo en el Modelo de Atención Integral de Salud Familiar y Comunitario (MAIS) vigente / Nº de establecimientos de salud de la comuna comprometidos</t>
  </si>
  <si>
    <t>Cumplir con el 100% de autoevaluación vigente en los centros comprometidos</t>
  </si>
  <si>
    <t>3 Y 4 C</t>
  </si>
  <si>
    <t>Ámbito RISS Organización y Gestión: Continuidad de la Atención</t>
  </si>
  <si>
    <t>(Nº establecimientos funcionando de 8:00 am a 20:00 horas de lunes a viernes y sábados de 9 a 13 horas  / Nº total de establecimientos visitados)*100</t>
  </si>
  <si>
    <t>(N° de Fármacos trazadores  disponibles/ N° total de fármacos trazadores) * 100</t>
  </si>
  <si>
    <t>Subtotal Indicadores Estrategia Redes Integradas de Servicios de Salud</t>
  </si>
  <si>
    <r>
      <t>2.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 xml:space="preserve">Indicadores de Producción </t>
    </r>
  </si>
  <si>
    <t>Meta</t>
  </si>
  <si>
    <t>Tasa de consultas de morbilidad  y de controles médicos, por habitante año</t>
  </si>
  <si>
    <t xml:space="preserve">N° de consultas de morbilidad y  controles realizadas por médicos/ Población inscrita.
</t>
  </si>
  <si>
    <t xml:space="preserve">Porcentaje de consultas y controles resueltos en APS (sin derivación nivel secundario).
</t>
  </si>
  <si>
    <t xml:space="preserve"> ((N°  de  control  y  consulta médica realizada en APS - N° SIC  de  Control  y  Consulta Médica generadas en APS)/  N° total de controles y consultas médicas  realizadas  en APS)*100     
</t>
  </si>
  <si>
    <t>Nº de visitas domiciliarias integrales realizadas / Nº de familias (población inscrita /3,3 )</t>
  </si>
  <si>
    <t>(N° de Examen de Medicina Preventiva realizados a hombres  y mujeres de 20 a 64 años  / Total de la población de hombres y mujeres de  20 a 64 años inscrita - Población bajo control en programa Cardiovascular-Población embarazadas 20-54 años en control))*100</t>
  </si>
  <si>
    <t>(N° de Examen de Medicina Preventiva realizados a hombres y mujeres de 65 y más años  / Total de la población de hombres y mujeres de 65 y más años inscrita)*100</t>
  </si>
  <si>
    <t>Cobertura de evaluación  del desarrollo psicomotor en niños y niñas de 12 a 23  meses bajo control</t>
  </si>
  <si>
    <t>(Niños y niñas de 12 a 23 meses con evaluación  del  desarrollo psicomotor / N° total de niños y niñas entre 12 a 23 meses bajo control )*100</t>
  </si>
  <si>
    <t xml:space="preserve">Cobertura de control de salud integral a adolescentes de 10 a 19 años. </t>
  </si>
  <si>
    <t>(Nº de controles de salud integral realizados a adolescentes de 10 a 19 años/ Población adolescente de 10 a 19 años inscrita en el establecimiento de salud)*100</t>
  </si>
  <si>
    <t xml:space="preserve">Porcentaje de consultas de morbilidad odontológica en población de 0 a 19 años
</t>
  </si>
  <si>
    <t>(N° consultas de morbilidad odontológicas en población de 0 a 19 años / Población inscrita validada de 0 a 19 años) * 100</t>
  </si>
  <si>
    <t>Cobertura y tasa de controles de atención Integral a personas con trastornos mentale,factores de riesgo y condicionantes de la salud mental</t>
  </si>
  <si>
    <r>
      <rPr>
        <b/>
        <sz val="10"/>
        <rFont val="Calibri"/>
        <family val="2"/>
        <scheme val="minor"/>
      </rPr>
      <t>Cobertura (10.1)</t>
    </r>
    <r>
      <rPr>
        <sz val="10"/>
        <rFont val="Calibri"/>
        <family val="2"/>
        <scheme val="minor"/>
      </rPr>
      <t xml:space="preserve"> (Nº de personas con trastornos mentales y condicionantes de la salud mental bajo control de 0 y más años/Número de personas con trastornos mentales y condicionantes de la salud mental de 0 ymás años esperados según prevalencia) * 100</t>
    </r>
  </si>
  <si>
    <r>
      <rPr>
        <b/>
        <sz val="10"/>
        <rFont val="Calibri"/>
        <family val="2"/>
        <scheme val="minor"/>
      </rPr>
      <t>Tasa (10.2)</t>
    </r>
    <r>
      <rPr>
        <sz val="10"/>
        <rFont val="Calibri"/>
        <family val="2"/>
        <scheme val="minor"/>
      </rPr>
      <t xml:space="preserve">   N° de controles de Salud Mental realizados en personas de 0 y más años/ N° de personas bajo control en el programa de salud mental de 0 y más años.</t>
    </r>
  </si>
  <si>
    <t>Cumplimiento de garantías explicitas en salud cuyas acciones son de ejecución en Atención Primaria.</t>
  </si>
  <si>
    <t>Nº de casos GES atendidos en APS con garantía cumplida / Nº total de casos GES atendidos en APS)*100</t>
  </si>
  <si>
    <t>Indicador crítico, se evalúa por separado</t>
  </si>
  <si>
    <t>Cobertura de vacunación anti influenza en población objetivo definida para el año en curso</t>
  </si>
  <si>
    <t>(N° de personas inscritas de los grupos objetivos vacunados con antiinfluenza /Total de población inscrita de los grupos objetivos) *100</t>
  </si>
  <si>
    <t>2 Y 4 C</t>
  </si>
  <si>
    <t>Ingreso precoz de mujeres a control de embarazo</t>
  </si>
  <si>
    <t>(N° de mujeres embarazadas ingresadas antes de las 14 semanas a control / Total de mujeres embarazadas ingresadas a control)*100</t>
  </si>
  <si>
    <t xml:space="preserve">Porcentaje  de adolescentes inscritos de 15 a 19 años bajo control de regulación de fertilidad.  
</t>
  </si>
  <si>
    <t>(N° de adolescentes de 15 a19 años inscritos que usan métodos de regulación de la fertilidad / Total adolescentes de 15 a19 años inscritos)*100</t>
  </si>
  <si>
    <t>Cobertura efectiva de Tratamiento en personas con Diabetes Mellitus 2, de 15 y más años</t>
  </si>
  <si>
    <t>(N° de personas de 15 y más años con Diabetes Mellitus 2 bajo control / N° de personas con Diabetes Mellitus 2 de 15 y más años, esperados según prevalencia) * 100</t>
  </si>
  <si>
    <t>Cobertura efectiva de Tratamiento en personas de 15 y más años, con Hipertensión Arterial</t>
  </si>
  <si>
    <t>(N° de personas de 15 y más años con  hipertensión arterial bajo control / N° de personas con hipertensión arterial de 15 y más años, esperados según prevalencia) * 100</t>
  </si>
  <si>
    <t>Subtotal Indicadores de Cobertura Efectiva</t>
  </si>
  <si>
    <r>
      <t>4.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>Indicadores de Impacto</t>
    </r>
  </si>
  <si>
    <t>N°</t>
  </si>
  <si>
    <t xml:space="preserve">Proporción de niñas y niños menores de 3 años libre de caries en población inscrita. </t>
  </si>
  <si>
    <t>N º de niños y niñas menores de 3 años con registro ceod= 0 / N° de niñas y niños menores de 3 años inscritos)*100</t>
  </si>
  <si>
    <t>PRIMER  CORTE</t>
  </si>
  <si>
    <t>segundo corte</t>
  </si>
  <si>
    <t>3 corte</t>
  </si>
  <si>
    <t>4  CORTE</t>
  </si>
  <si>
    <t xml:space="preserve">Proporción de niñas y niños menores de 6 años con estado nutricional normal. 
</t>
  </si>
  <si>
    <t xml:space="preserve">(N° de niños y niñas menores de   6   años   con   estado nutricional  normal  /  N°  de  niñas y niños menores de 6 años inscritos)*100 
</t>
  </si>
  <si>
    <t>C1</t>
  </si>
  <si>
    <t>TODOS</t>
  </si>
  <si>
    <t>CABIDO QUINTERO</t>
  </si>
  <si>
    <t>C2</t>
  </si>
  <si>
    <t>C3</t>
  </si>
  <si>
    <t>Subtotal Indicadores de Impacto</t>
  </si>
  <si>
    <t>Total (excluyendo indicadores críticos)</t>
  </si>
  <si>
    <t xml:space="preserve">Cumplimiento Progresivo: </t>
  </si>
  <si>
    <t xml:space="preserve"> Las Metas de cumplimiento progresivo, que corresponden a los Indicadores N°: 1, 3, 5, 6, 7, 8, 9, 10, 12 y 17; para éstas se espera que en cada corte se logren los siguientes porcentajes: </t>
  </si>
  <si>
    <t xml:space="preserve">Corte a julio 50 % de cumplimiento </t>
  </si>
  <si>
    <t>Corte a septiembre 70 % de cumplimiento</t>
  </si>
  <si>
    <t>Corte a diciembre 100 % de cumplimiento</t>
  </si>
  <si>
    <t>Componentes según REM de Índice de Actividad de la Atención Primaria (IAAPS) 2022 (1° Corte Enero a Abril)</t>
  </si>
  <si>
    <t>INDICE DE ACTIVIDAD DE LA ATENCION PRIMARIA (IAAPS) 2022</t>
  </si>
  <si>
    <t>INDICADOR 3: Tasa de consultas de morbilidad  y de controles médicos, por habitante año</t>
  </si>
  <si>
    <t>INDICADOR 4: Porcentaje de consultas y controles resueltos en APS (Sin derivación a nivel secundario)</t>
  </si>
  <si>
    <t>INDICADOR 5: Tasa de Visita Domiciliaria Integral</t>
  </si>
  <si>
    <t>INDICADOR 6.1: Cobertura Examen de Medicina Preventiva en hombres y mujeres de 20 a 64 años</t>
  </si>
  <si>
    <t>Indicador 6.2: Cobertura de Examen de Medicina Preventiva del Adulto de 65  años y más</t>
  </si>
  <si>
    <t>INDICADOR 7: Cobertura de Evaluación del Desarrollo Psicomotor de niños(as) de 12 a 23 meses bajo control</t>
  </si>
  <si>
    <t>INDICADOR 8: Cobertura de control de salud integral a adolescentes de 10 a 14 años.</t>
  </si>
  <si>
    <t>INDICADOR 9: Porcentaje de consultas de morbilidad odontológica en población de 0 a 19 años</t>
  </si>
  <si>
    <t>INDICADOR 10.1: Cobertura de atención Integral a personas con factores de riesgo, condicionantes de salud mental y trastornos mentales.</t>
  </si>
  <si>
    <t>INDICADOR 10.2: Tasa de controles de atención Integral a personas con factores de riesgo, condicionantes de salud mental y trastornos mentales</t>
  </si>
  <si>
    <t>INDICADOR 12: Cobertura de vacunación anti influenza en población objetivo definida para el año en curso</t>
  </si>
  <si>
    <t>INDICADOR 13: Ingreso precoz de mujeres a control de embarazo</t>
  </si>
  <si>
    <t>INDICADOR 14: Cobertura de método anticonceptivos en adolescentes de 15 a 19 años inscritos que usan métodos de regulación de la fertilidad</t>
  </si>
  <si>
    <t>INDICADOR 15: Cobertura efectiva de Tratamiento en personas con Diabetes Mellitus 2, de 15 y más años</t>
  </si>
  <si>
    <t>INDICADOR 16: Cobertura efectiva de Tratamiento en personas de 15 y más años, con Hipertensión Arterial</t>
  </si>
  <si>
    <t>INDICADOR 17: Proporción de niñas y niños menores de 3 años libre de caries en población inscrita</t>
  </si>
  <si>
    <t>INDICADOR 18: Proporción de niñas y niños menores de 6 años con estado nutricional normal</t>
  </si>
  <si>
    <t>INDICADOR (Tasa)</t>
  </si>
  <si>
    <t>INDICADOR (%)</t>
  </si>
  <si>
    <t>DENOMINADOR
(D-(A+B-C))</t>
  </si>
  <si>
    <t>NUMERADOR
(I+J-K)</t>
  </si>
  <si>
    <t xml:space="preserve">N° de control y consultas médicas resalizadas en APS- N° SIC de control y consultas médicas generadas en APS </t>
  </si>
  <si>
    <t>N° total de consultas  y controles por médico</t>
  </si>
  <si>
    <t xml:space="preserve">Nº visitas domiciliarias integrales realizadas </t>
  </si>
  <si>
    <t xml:space="preserve"> Nº de familias (población inscrita / 3,3)</t>
  </si>
  <si>
    <t xml:space="preserve">Nº Examen de Medicina Preventiva (EMP) realizado en población de hombres y mujeres de 20 a 64 años </t>
  </si>
  <si>
    <t>Población de hombres y mujeres de 20 a 64 años inscrita, menos población de hombres y mujeres de 20 a 64 años bajo control en Programa Salud Cardiovascular)</t>
  </si>
  <si>
    <t>Poblacion de 20 a 64 años bajo control en programa de salud cardiovascular</t>
  </si>
  <si>
    <t>Ingresos de población al PSCV de 20 y 64 años</t>
  </si>
  <si>
    <t>Egresos de población al PSCV de 20 y 64 años</t>
  </si>
  <si>
    <t xml:space="preserve">N° de adultos de 65 y más años con Examen de Medicina Preventiva </t>
  </si>
  <si>
    <t>Población inscrita de 65 años</t>
  </si>
  <si>
    <t xml:space="preserve">Nº de Niños(as) de 12 a 23 meses con Evaluación de Desarrollo Psicomotor </t>
  </si>
  <si>
    <t>Nº de Niños(as) 12 a 23  meses bajo control)</t>
  </si>
  <si>
    <t>Nº de controles de salud integral realizados a adolescentes de 10 a 19 años</t>
  </si>
  <si>
    <t>Población adolescente de 10 a 19 años inscrita en el establecimiento de salud)*100</t>
  </si>
  <si>
    <t xml:space="preserve">Nº de atenciones de morbiolidad en población de 0 años a 19 años </t>
  </si>
  <si>
    <t>Población inscrita de 0 a menor de 20 años</t>
  </si>
  <si>
    <t>Nº de personas con factores de riesgo, condicionantes de salud mental y trastornos mentales bajo control de 0 y más años</t>
  </si>
  <si>
    <t>Población en control con factores de riesgo, condicionantes de salud mental y trastornos mentales de 0 y más años</t>
  </si>
  <si>
    <t>Ingreso de población con factores de riesgo, condicionantes de salud mental y trastornos mentales a bajo control</t>
  </si>
  <si>
    <t>Egreso de población con con factores de riesgo, condicionantes de salud mental y trastornos mentales de bajo control</t>
  </si>
  <si>
    <t>Nº de personas esperadas según prevalencia de trastornos mentales</t>
  </si>
  <si>
    <t>N° de controles de salud mental totales realizados a personas de  0 y más años</t>
  </si>
  <si>
    <t>N° de personas bajo control en el programa de salud mental de 0 y más años</t>
  </si>
  <si>
    <t>N° de personas inscritas de los grupos objetivos vacunados con anti influenza</t>
  </si>
  <si>
    <t>Total de población inscrita de los grupos objetivos) *100</t>
  </si>
  <si>
    <t xml:space="preserve">N° de mujeres embarazadas ingresadas antes de las 14 semanas a control </t>
  </si>
  <si>
    <t xml:space="preserve">N° de adolescentes bajo control de 15 a 19 años inscritos que usan métodos de regulación de la fertilidad </t>
  </si>
  <si>
    <t>Nº de personas con Diabetes Mellitus 2 de 15 a 79 años con Hb A1c bajo 7% +  Nº de personas con Diabetes Mellitus 2 de 80 y más con Hb A1c bajo 8% según último control vigente</t>
  </si>
  <si>
    <t>Total de personas con diabetes de 15 y más años esperados según prevalencia</t>
  </si>
  <si>
    <t>Nº de personas hipertensas de 15 a 79 años con PA&lt; 140/90 mm Hg +  Nº de personas hipertensas de 80 y más con PA &lt;150/90 mm Hg según último control vigente</t>
  </si>
  <si>
    <t>Total de personas de 15 años y más, hipertensas esperadas según prevalencia)*100</t>
  </si>
  <si>
    <t xml:space="preserve">N º de niños y niñas menores de 3 años con registro ceod= 0 </t>
  </si>
  <si>
    <t>N° de niñas y niños menores de 3 años inscritos</t>
  </si>
  <si>
    <t>N º de niños y niñas menores de 6 años con estado nutricional normal</t>
  </si>
  <si>
    <t>N° de niñas y niños menores de 6 años inscritos</t>
  </si>
  <si>
    <t>DESAGREGACIÓN TERRITORIAL SEGÚN FICHA DE INDICADORES: SERVICIO DE SALUD Y COMUNA</t>
  </si>
  <si>
    <t>RESULTADO</t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</si>
  <si>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</t>
  </si>
  <si>
    <r>
      <rPr>
        <sz val="11"/>
        <color indexed="10"/>
        <rFont val="Calibri"/>
        <family val="2"/>
        <scheme val="minor"/>
      </rPr>
      <t>POBLACIÓN INSCRITA FONASA</t>
    </r>
    <r>
      <rPr>
        <sz val="11"/>
        <color indexed="63"/>
        <rFont val="Calibri"/>
        <family val="2"/>
        <scheme val="minor"/>
      </rPr>
      <t xml:space="preserve"> </t>
    </r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</si>
  <si>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(MENOS)
 REMA7Seccion ACeldas (AE136+AF136) – (AE96 + AF96 + AE106 + AF106 + AE107 + AF107 +AE120 + AF120 +AE121 + AF121 +AE122 + AF122 +AE123 + AF123+AE124 + AF124+AE129 + AF129+AE130 + AF130+AE131 + AF131)
</t>
  </si>
  <si>
    <t xml:space="preserve">BD REM 2023 
 REMA26 
Sección ACeldas (C10 A  C35) 
(más)Sección B celda (C40 a E41)  
(más)  REMA33 Sección A.2 Celda (B46) 
</t>
  </si>
  <si>
    <t xml:space="preserve">POBLACIÓN INSCRITA FONASA </t>
  </si>
  <si>
    <t xml:space="preserve">BD REM  2023 
 REMA2 
Sección B. 
Celda (G21+ H21+ I21+ J21+ K21+ L21+ M21+ N21+ O21+ P21+ Q21+ R21+ S21+ T21+ U21+ V21+ W21+ X21)  
</t>
  </si>
  <si>
    <t xml:space="preserve">Población  Inscrita validada de 20 a 64 años (FONASA)                   
(menos)  BD REM (Dic 2022) Table remPp4 Sección A
Celdas (H12+ I12+ J12+ K12+ L12+ M12+ N12+ O12+ P12+ Q12+ R12+S12+ T12+ U12+ V12+ W12+ X12+ Y12) 
(más)BD REM (Dic 2022) Table remPp1Sección BCeldas (B39+B40+B41+B42+B43+B44+B45) 
(más)BD REM 2023Table remPa5  Sección H 
Celdas (H111+ I111+ J111+ K111+ L111+ M111+ N111+ O111+ P111+ Q111+ R111+S111+ T111+ U111+ V111+ W111+ X111+ Y111)  
(menos) BD REM 2023 Table remPa5 Sección I 
Celdas (H124+ I124+ J124+ K124+ L124+ M124+ N124+ O124+ P124+ Q124+ R124+S124+ T124+ U124+ V124+ W124+ X124+ Y124)
</t>
  </si>
  <si>
    <t xml:space="preserve">BD REM (Dic 2021) 
 remP4 
Sección A
Celdas (H12+ I12+ J12+ K12+ L12+ M12+ N12+ O12+ P12+ Q12+ R12+S12+ T12+ U12+ V12+ W12+ X12+ Y12) 
</t>
  </si>
  <si>
    <t xml:space="preserve">BD REM 2023 
 REMA5  
Sección H
Celdas (H110+ I110+ J110+ K110+ L110+ M110+ N110+ O110+ P110+ Q110+ R110+S110+ T110+ U110+ V110+ W110+ X110+ Y110)  
</t>
  </si>
  <si>
    <t xml:space="preserve">BD REM 2023 
 REMA5 
Sección I 
Celdas (H120+ I120+ J120+ K120+ L120+ M120+ N120+ O120+ P120+ Q120+ R120+S120+ T120+ U120+ V120+ W120+ X120+ Y120)
</t>
  </si>
  <si>
    <t>BD REM (Dic 2021) 
remP1
Sección B
Celdas (B39+B40+B41+B42+B43+B44+B45) 
(Dic2021)</t>
  </si>
  <si>
    <t>Población Inscrita validada de 20 a 64 años (FONASA)</t>
  </si>
  <si>
    <t xml:space="preserve">BD REM 2023 
 REMA2 
Sección B
Celda (G21 a X21) 
</t>
  </si>
  <si>
    <t>Población inscrita de 65 y más años validada (FONASA)</t>
  </si>
  <si>
    <t xml:space="preserve">BD REM 2023 
 REMA2 
Sección B
Celda (J20 a M23) 
</t>
  </si>
  <si>
    <t xml:space="preserve">BD REM (Vigente al corte) 
 remP2 
Sección A 
Celdas (V11+ W11+ X11+ Y11)
</t>
  </si>
  <si>
    <t xml:space="preserve">BD REM 2023
 REMA1 
Sección D 
Celda (C75+H75)
(más)
 REMA32
Seccion J
Celdas (B189 a E190)
</t>
  </si>
  <si>
    <t xml:space="preserve"> Población inscrita validada  de 10 a 14 años
(FONASA)</t>
  </si>
  <si>
    <t xml:space="preserve">BD REM 2023
 REMA9
Sección A 
Celda (G12+ H12+ I12+ J12+ K12+ L12+ M12+ N12+ O12+ P12+ Q12+ R12+ S12+ T12+ U12+ V12+ W12+ X12+ Y12+ Z12+ AA12+ AB12)
</t>
  </si>
  <si>
    <t>Población Inscrita validada de 0 a menor de 20 años
(FONASA)</t>
  </si>
  <si>
    <t xml:space="preserve">BD REM (Dic 2022) 
 remP6 Sección A Celdas (C13) 
(más)BD REM 2023  REMA5  Sección N Celdas (C183)
(menos)BD REM 2023  REMA5 Sección O Celdas (C231+AN231+AO231+AP231)
</t>
  </si>
  <si>
    <t xml:space="preserve">BD REM (Dic 2022) 
 remP6 
Sección A 
Celdas (C13) 
</t>
  </si>
  <si>
    <t xml:space="preserve">BD REM 2023 
 REMA5  
Sección N 
Celdas (C183)
</t>
  </si>
  <si>
    <t xml:space="preserve">BD REM 2023 
 REMA5
Sección O 
Celdas  (C231+AN231+AO231+AP231)
</t>
  </si>
  <si>
    <t xml:space="preserve">Población estimada según Prevalencia
(Población inscrita validada FONASA x 22%)
</t>
  </si>
  <si>
    <t xml:space="preserve">BD REM 2023
 REMA6 Sección A.1 Celdas (C23+ C24) 
(más)Sección A.2 Celdas (E33)
(más)BD REM 2023  REMA19aSección A.3 Celdas (C90+ C92)
(más)BD REM 2023  REMA26Sección ACeldas (C30+ C31)
(más)BD REM 2023  REMA32 Sección F.1Celdas (B130+ B131+ B132)
(más)Sección F.2Celdas (C147+ C158)
(más)BD REM 2023  REMA4 Sección ACeldas (B24)
</t>
  </si>
  <si>
    <t>No Aplica</t>
  </si>
  <si>
    <t xml:space="preserve">BD REM 2023 
 REMA5 
Sección A 
Celda (C13) 
</t>
  </si>
  <si>
    <t xml:space="preserve">BD REM 2023
 REMA5
Sección A
Celda (C11)
</t>
  </si>
  <si>
    <t xml:space="preserve">BD REM P1
Celda (E11 a E23)
</t>
  </si>
  <si>
    <t>Población 15 a 19 años inscrita validada
(FONASA)</t>
  </si>
  <si>
    <r>
      <t>FONASA</t>
    </r>
    <r>
      <rPr>
        <sz val="11"/>
        <color indexed="63"/>
        <rFont val="Calibri"/>
        <family val="2"/>
        <scheme val="minor"/>
      </rPr>
      <t xml:space="preserve">
</t>
    </r>
  </si>
  <si>
    <t xml:space="preserve">No Aplica </t>
  </si>
  <si>
    <t xml:space="preserve">FONASA
</t>
  </si>
  <si>
    <t xml:space="preserve">
 REMA9
Sección C
Celdas (G48+ H48+ I48+ J48+ K48+ L48)
</t>
  </si>
  <si>
    <t>Población Inscrita validada menor de 3 años
(FONASA)</t>
  </si>
  <si>
    <r>
      <t>IAAPS MUNICIPAL :</t>
    </r>
    <r>
      <rPr>
        <b/>
        <u/>
        <sz val="11"/>
        <color indexed="10"/>
        <rFont val="Trebuchet MS"/>
        <family val="2"/>
      </rPr>
      <t/>
    </r>
  </si>
  <si>
    <t>Incluir</t>
  </si>
  <si>
    <t>Establecimientos de Dependencia Municipal: CESFAM, CSU, CGU, CGR, CSR, PSR, CECOSF (todas las metas)</t>
  </si>
  <si>
    <t>Excluir</t>
  </si>
  <si>
    <t>Establecimientos de Dependencia Municipal: SAPU, SAR, COSAM,CRS (todas las metas)</t>
  </si>
  <si>
    <t>Establecimientos de Dependencia de Servicios y ONG</t>
  </si>
  <si>
    <t>Sept</t>
  </si>
  <si>
    <t>Población embarazadas 20-54 años en control REMP1 SECCION D F64:M64</t>
  </si>
  <si>
    <t>ESTADO NUTRICIONAL NORMAL PARA NIÑOS MENOR DE 6 AÑOS REM P2S SECCION D:34</t>
  </si>
  <si>
    <t>https://www.fonasa.cl/sites/fonasa/minisitio/tablero-eaps</t>
  </si>
  <si>
    <t>Nº de personas de 5 y más años salud mental bajo control  Remp + ingreso -egreso</t>
  </si>
  <si>
    <t xml:space="preserve">formula </t>
  </si>
  <si>
    <t>N° de personas de 15 y más años con Diabetes Mellitus 2 bajo control   REM P4: C17</t>
  </si>
  <si>
    <t>NUMERADOR REALIZADO
NUMERICO
GLOBAL</t>
  </si>
  <si>
    <t>Establecimiento</t>
  </si>
  <si>
    <t>Centro de Salud Familiar Quilpué</t>
  </si>
  <si>
    <t>Centro de Salud Familiar El Belloto</t>
  </si>
  <si>
    <t>Centro de Salud Familiar Alcalde Iván Manríquez</t>
  </si>
  <si>
    <t>Centro de Salud Familiar Aviador Acevedo</t>
  </si>
  <si>
    <t>Centro de Salud Familiar Pompeya</t>
  </si>
  <si>
    <t>Posta de Salud Rural Colliguay</t>
  </si>
  <si>
    <t>Centro Comunitario de Salud Familiar El Retiro</t>
  </si>
  <si>
    <t>Mujeres embarazadas ingresadas antes de 14 semanas a control</t>
  </si>
  <si>
    <t>N°  de controles   de Salud  Mental realizados de 0 y más años</t>
  </si>
  <si>
    <t xml:space="preserve"> Controles   Salud Integral realizados  a adolescentes 
 10-19años</t>
  </si>
  <si>
    <r>
      <t xml:space="preserve">REM01 CONTROLES MEDICO APS ,A,B,C
</t>
    </r>
    <r>
      <rPr>
        <b/>
        <sz val="12"/>
        <rFont val="Calibri"/>
        <family val="2"/>
      </rPr>
      <t>(C12+ C14+ C16+ C18+ C20+ C22+ C24+ C26+C28+ C30+ C32+C37+C45+ C49+ C52+ C55+ C58+ C64)</t>
    </r>
  </si>
  <si>
    <t>DESARROLLO PSICOMOTOR PRIMERA EVALUACIÓN
 12-23 MS.
 Rem03 ( J21 a M24)</t>
  </si>
  <si>
    <t>Visitas
 domicilio
 integrales
  REM26 (C10 a C35)+(C40a E41)+REM A33 (B44)</t>
  </si>
  <si>
    <r>
      <t xml:space="preserve">Controles de Salud Adolescente 10-19 años 
</t>
    </r>
    <r>
      <rPr>
        <b/>
        <sz val="10"/>
        <rFont val="Calibri"/>
        <family val="2"/>
      </rPr>
      <t xml:space="preserve"> REM 01 SECCIÓN D: CONTROL DE SALUD INTEGRAL DE ADOLESCENTES (C74+F74) +
 REM 32 SECCIÓN J: ATENCIÓN REMOTA ADOLESCENTE (B189+B190+E189+E190)</t>
    </r>
  </si>
  <si>
    <t>INGRESOS AL PROGRAMA DE SALUD  MENTAL EN APS /ESPECIALIDAD (REMA05) SECCION N C186</t>
  </si>
  <si>
    <t>EGRESOS DEL PROGRAMA DE SALUD  MENTAL POR ALTAS CLÍNICAS EN APS /ESPECIALIDAD 
(A05)  (C234 + AN234 + AO234 + AP234)</t>
  </si>
  <si>
    <t>Rem6 Sección A.1 Celdas (C22+ C23) +Sección A.2  Celdas (E32)</t>
  </si>
  <si>
    <t>Rem19a Sección A.3 Celdas (C97+ C99)</t>
  </si>
  <si>
    <t>En control MARZO  2024</t>
  </si>
  <si>
    <t>En control a JUNIO 2024</t>
  </si>
  <si>
    <t>En control a SEPTIEMBRE 2024</t>
  </si>
  <si>
    <t>En control a DICIEMBRE 2024</t>
  </si>
  <si>
    <t>INDICE ACTIVIDAD ATENCION PRIMARIA DE SALUD (IAAPS)   -   POBLACION PERCAPITA AÑO 2024</t>
  </si>
  <si>
    <t xml:space="preserve">&gt;= 90,7% </t>
  </si>
  <si>
    <t xml:space="preserve">N° de consultas de morbilidad y controles realizadas por  médicos </t>
  </si>
  <si>
    <t>Logrado</t>
  </si>
  <si>
    <t>Nombre</t>
  </si>
  <si>
    <t>META 6.1A</t>
  </si>
  <si>
    <t>META 6.1B</t>
  </si>
  <si>
    <t>Cobertura Examen Medicina Preventiva MUJERES
  20-64 años</t>
  </si>
  <si>
    <t>Cobertura Examen Medicina Preventiva HOMBRE
  20-64 años</t>
  </si>
  <si>
    <t>Para el Período
( % de la meta anual) (B)</t>
  </si>
  <si>
    <t>Modificar  Mes  a Mes</t>
  </si>
  <si>
    <t xml:space="preserve">N° de Examen de Medicina Preventiva realizados a mujeres de 20 a 64 años </t>
  </si>
  <si>
    <t xml:space="preserve">N° de Examen de Medicina Preventiva realizados a hombres  de 20 a 64 años </t>
  </si>
  <si>
    <t>6,1a</t>
  </si>
  <si>
    <t>6,1b</t>
  </si>
  <si>
    <t>Cobertura Examen de Medicina Preventiva realizado  mujeres de 20 años y más.</t>
  </si>
  <si>
    <t>Cobertura Examen de Medicina Preventiva realizado a hombres de 20 años y más.</t>
  </si>
  <si>
    <t xml:space="preserve">META 13: Ingreso precoz de mujeres a control de embarazo    </t>
  </si>
  <si>
    <t>META 12: Cobertura de vacunación anti influenza en población objetivo definida para el año en curso</t>
  </si>
  <si>
    <t xml:space="preserve">META 10: Cobertura  de atención Integral a personas con trastornos mentales, factores de riesgo y condicionantes de la salud  mental.  </t>
  </si>
  <si>
    <t xml:space="preserve">META 9:META 9:  Consulta de morbilidad odontológica en población de 0 a menos de 20 años.     </t>
  </si>
  <si>
    <t xml:space="preserve">META 8: Cobertura Control Salud Integral a adolescentes de 10-19 años    </t>
  </si>
  <si>
    <t xml:space="preserve">META 7: Cobertura evaluación desarrollo psicomotor en  niños y niñas de 12 a 23 meses en control   </t>
  </si>
  <si>
    <t xml:space="preserve">META 6B: COBERTURA EXAMEN DE MEDICINA PREVENTIVA REALIZADOS A HOMBRES Y MUJERES  DE  65 y MAS AÑOS.                     </t>
  </si>
  <si>
    <t xml:space="preserve">Pob Reg Fecundidad REMP1 Adolescentes 15a19  REMP01: E24 </t>
  </si>
  <si>
    <t xml:space="preserve"> </t>
  </si>
  <si>
    <t>Hipert. Arterial (Existencia) 15+años en control
REM P4-05 celda E20</t>
  </si>
  <si>
    <t>Diabeticos 15+años en control
REM P4-05: Celda E28</t>
  </si>
  <si>
    <t>En Control Smental P06 celda D13</t>
  </si>
  <si>
    <t>Población infantil
 12-23 ms. En control P02-Celda W10:Z10</t>
  </si>
  <si>
    <t>Población embarazadas 20-56 años en control REMP01-12 Celda G64:M64</t>
  </si>
  <si>
    <t>ESTADO NUTRICIONAL NORMAL PARA NIÑOS MENOR DE 6 AÑOS REMP02-Celda D34</t>
  </si>
  <si>
    <t>Denominador 6.1: 
Total de la población de hombres  de  20 a 64 años inscrita</t>
  </si>
  <si>
    <t>Denominador 6.1: 
Total de la población de hombres  de  20 a 64 años  bajo control en programa Cardiovascular</t>
  </si>
  <si>
    <t>Denominador 6.1: 
Total de la población de hombres de  20 a 64 años inscrita- en control pscv</t>
  </si>
  <si>
    <t>Denominador 6.1: 
Total de la población de mujeres de  20 a 64 años inscrita</t>
  </si>
  <si>
    <t>Denominador 6.1: 
Total de la población de  mujeres de  20 a 64 años  bajo control en programa Cardiovascular</t>
  </si>
  <si>
    <t>Denominador 6.1: 
Total de la población de  mujeres de  20 a 64 años inscrita- en control pscv-Embarazadas</t>
  </si>
  <si>
    <t>Meta N° 6.1 A</t>
  </si>
  <si>
    <t>Meta N° 6.1 B</t>
  </si>
  <si>
    <t>Poblacion (Mujer) de 20 a 64 años bajo control en programa de salud cardiovascular P04-05 celda J11:AA11</t>
  </si>
  <si>
    <t>Poblacion (Hombres) de 20 a 64 años bajo control en programa de salud cardiovascular P04-05 celda J11:AA11</t>
  </si>
  <si>
    <t>Población embarazadas 20-54 años en control REMP01-12 Celda G64:M64</t>
  </si>
  <si>
    <t>AQ9-AR9-AS9</t>
  </si>
  <si>
    <t>Se espera
aproximar la
fijación a
22%</t>
  </si>
  <si>
    <t>Corte a Mayo 30 % de cumplimiento</t>
  </si>
  <si>
    <t>Para el Período
(% de la meta anual) (B)</t>
  </si>
  <si>
    <t>DIFERENCIA</t>
  </si>
  <si>
    <t>Del Indicador Ponderado (3,30%)</t>
  </si>
  <si>
    <t>Del Indicador Ponderado (4,40%)</t>
  </si>
  <si>
    <t>Del Indicador Ponderado (5,49%)</t>
  </si>
  <si>
    <t>Del Indicador Ponderado (1,32%)</t>
  </si>
  <si>
    <t>Del Indicador Ponderado (6,59%)</t>
  </si>
  <si>
    <t xml:space="preserve">META 14: Porcentaje  adolescentes inscritos 15a19 años bajo control regulación fertilidad.  
  Meta = 25%  Peso Relativo= 6%.          </t>
  </si>
  <si>
    <t>META 15:  Cobertura Diabetes Mellitus 2 personas de 15 y más años   (Meta=57%)  Ponderación 6%
(Población según Prevalencia= (Población Inscrita ( 1.8% entre 15 y 24 años, 6.3% entre 25a44 años, 18.3% entre 45y64 años y 30.6% para 65años y más))</t>
  </si>
  <si>
    <t xml:space="preserve">META 16: Cobertura Hipertensión Arterial personas de 15 años y más.  (Meta 60%)  Ponderación 6%
Población estimada según Prevalencia (Población Inscrita Validada FONASA (0.7%)  15 -24 años, (10.6%)  25 a 44 años, (45,1%)  45 a 64 años y  (73,3%) 65 y más </t>
  </si>
  <si>
    <t>META 17: Proporción de niñas y niños menores de 3 años libre de caries en población inscrita.   
  Meta = 60%  Peso Relativo= 5%</t>
  </si>
  <si>
    <t>META 18: Proporción de niñas y niños menores de 6 años con estado nutricional normal.     Meta = 60%  Peso Relativo= 4%</t>
  </si>
  <si>
    <t>META 3: Tasa de consultas de morbilidad  y de controles médicos, por habitante año
  Meta &gt;= 1.2        Peso Relativo= 6%</t>
  </si>
  <si>
    <t>META 4  :   Porcentaje consultas y controles resueltos en APS (sin derivación nivel secundario).         Meta &gt;= 90%              Peso Relativo= 5%</t>
  </si>
  <si>
    <t>META 5: Tasa de Visita domiciliaria Integral.( Meta = Tasa = 0,22) Ponderación  5%</t>
  </si>
  <si>
    <t xml:space="preserve">META 6.1.A:Cobertura Examen de Medicina Preventiva en  mujeres de 20 a 64 años 
  META = 25% Ponderación = 3%
</t>
  </si>
  <si>
    <t>META 6.1.B:Cobertura Examen de Medicina Preventiva en hombres  de 20 a 64 años
   META = 30% Ponderación = 4%</t>
  </si>
  <si>
    <t xml:space="preserve">Cumplimiento Global local </t>
  </si>
  <si>
    <t>Cumplimiento Global SSVQ</t>
  </si>
  <si>
    <t>MARZO</t>
  </si>
  <si>
    <t>JUNIO</t>
  </si>
  <si>
    <t>%</t>
  </si>
  <si>
    <t>Poblacion (Mujer) de 20 a 64 años bajo control en programa de salud cardiovascular P04-05 celda K11:AA11</t>
  </si>
  <si>
    <t xml:space="preserve">Poblacion (Hombres) de 20 a 64 años bajo control en programa de salud cardiovascular P04-05 celda J11:AA11 </t>
  </si>
  <si>
    <t>Pob Reg Fecundidad REMP1 Adolescentes 15a19 F23</t>
  </si>
  <si>
    <t>REM 07 INTERCONSULTAS SIN 
GINECOLOGIA -OBSTETRICIA
(AE136+AF136)-(AE(120+121+129+130+131)  +  AF(120+121+122+129+130+131) )</t>
  </si>
  <si>
    <t>REM06 CONTROLES MEDICO S.MENTAL APS (C12)</t>
  </si>
  <si>
    <r>
      <t>EMP +MUJERES
20-64 AÑOS</t>
    </r>
    <r>
      <rPr>
        <b/>
        <sz val="12"/>
        <rFont val="Calibri"/>
        <family val="2"/>
      </rPr>
      <t xml:space="preserve">
REM02(H21+ J21+ L21+  N21+ P21+  R21+  T21+  V21+ X21)</t>
    </r>
    <r>
      <rPr>
        <b/>
        <sz val="14"/>
        <rFont val="Calibri"/>
        <family val="2"/>
      </rPr>
      <t xml:space="preserve">
</t>
    </r>
  </si>
  <si>
    <r>
      <t>EMP HOMBRES 
20-64 AÑOS</t>
    </r>
    <r>
      <rPr>
        <b/>
        <sz val="12"/>
        <rFont val="Calibri"/>
        <family val="2"/>
      </rPr>
      <t xml:space="preserve">
REM02(G21+ I21+ K21+ M21+ O21+  Q21+ S21+ U21+W21)</t>
    </r>
    <r>
      <rPr>
        <b/>
        <sz val="14"/>
        <rFont val="Calibri"/>
        <family val="2"/>
      </rPr>
      <t xml:space="preserve">
</t>
    </r>
  </si>
  <si>
    <t>ESTADO NUTRICIONAL NORMAL PARA NIÑOS MENOR DE 6 AÑOS REM P2S SECCION D:34 + A1 G:H 69</t>
  </si>
  <si>
    <t>DIFERENCIA  EN  MES MAYO POMPEYA</t>
  </si>
  <si>
    <t>EGRESOS PCV Mujeres
REM05 20-64 (I127+K127+M127+O127+Q127+S127+U127+W127+Y127)</t>
  </si>
  <si>
    <t>EGRESOS PCV Hombres
REM05 20-64 (H127+J127+L127+N127+P127+R127+T127+V127+X127)</t>
  </si>
  <si>
    <t>INGRESOS PCV Mujeres
REM05 20-64 (I114+K114+M114+O114+Q114+S114+U114+W114+Y114)</t>
  </si>
  <si>
    <t>INGRESOS PCV Hombres
REM05 20-64 (H114+J114+L114+N114+P114+R114+T114+V114+X114)</t>
  </si>
  <si>
    <t xml:space="preserve">META 10.2:  Tasa de controles  de atención Integral a personas con trastornos mentales, factores de riesgo y condicionantes de la salud mental. 
   META Nacional=  5       Ponderación 1.2% </t>
  </si>
  <si>
    <t>Personas  con trastornos mentales y condicionantes  de salud    mental bajo control  de  0  y  más años  Nº de personas de 5 y más años salud mental bajo control  Remp06  + ingreso (REMA05)  C183  -egreso  (A05)  (C231 + AN231 + AO231 + AP231)</t>
  </si>
  <si>
    <t>SEPT</t>
  </si>
  <si>
    <t>N° de personas de 15 y más años con Diabetes Mellitus 2 bajo control   REM P4: C18</t>
  </si>
  <si>
    <t>sept</t>
  </si>
  <si>
    <t>ENERO -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</si>
</sst>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164" formatCode="_-* #,##0\ _€_-;\-* #,##0\ _€_-;_-* &quot;-&quot;\ _€_-;_-@_-"/>
    <numFmt numFmtId="165" formatCode="0.0%"/>
    <numFmt numFmtId="166" formatCode="0.000"/>
    <numFmt numFmtId="167" formatCode="0.0000"/>
    <numFmt numFmtId="168" formatCode="0.0"/>
    <numFmt numFmtId="169" formatCode="_-[$€]\ * #,##0.00_-;\-[$€]\ * #,##0.00_-;_-[$€]\ * &quot;-&quot;??_-;_-@_-"/>
  </numFmts>
  <fonts count="1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indexed="58"/>
      <name val="Calibri"/>
      <family val="2"/>
    </font>
    <font>
      <b/>
      <sz val="22"/>
      <color rgb="FF002060"/>
      <name val="Calibri"/>
      <family val="2"/>
    </font>
    <font>
      <sz val="22"/>
      <color indexed="12"/>
      <name val="Calibri"/>
      <family val="2"/>
    </font>
    <font>
      <b/>
      <sz val="18"/>
      <color indexed="12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b/>
      <sz val="12"/>
      <name val="Arial Narrow"/>
      <family val="2"/>
    </font>
    <font>
      <sz val="13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22"/>
      <name val="Calibri"/>
      <family val="2"/>
    </font>
    <font>
      <b/>
      <sz val="13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5"/>
      <name val="Calibri"/>
      <family val="2"/>
      <scheme val="minor"/>
    </font>
    <font>
      <sz val="13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Times New Roman"/>
      <family val="1"/>
    </font>
    <font>
      <sz val="7"/>
      <name val="Arial"/>
      <family val="2"/>
    </font>
    <font>
      <sz val="7"/>
      <name val="Calibri"/>
      <family val="2"/>
      <scheme val="minor"/>
    </font>
    <font>
      <sz val="16"/>
      <color indexed="8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  <scheme val="minor"/>
    </font>
    <font>
      <sz val="18"/>
      <color indexed="12"/>
      <name val="Calibri"/>
      <family val="2"/>
    </font>
    <font>
      <b/>
      <sz val="22"/>
      <name val="Calibri"/>
      <family val="2"/>
    </font>
    <font>
      <b/>
      <sz val="11"/>
      <name val="Calibri"/>
      <family val="2"/>
      <scheme val="minor"/>
    </font>
    <font>
      <b/>
      <sz val="2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4"/>
      <color indexed="58"/>
      <name val="Trebuchet MS"/>
      <family val="2"/>
    </font>
    <font>
      <b/>
      <sz val="11"/>
      <color indexed="8"/>
      <name val="Calibri"/>
      <family val="2"/>
    </font>
    <font>
      <sz val="10"/>
      <color indexed="58"/>
      <name val="Trebuchet MS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name val="Verdana"/>
      <family val="2"/>
    </font>
    <font>
      <b/>
      <sz val="16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"/>
      <name val="Times New Roman"/>
      <family val="1"/>
    </font>
    <font>
      <b/>
      <sz val="12"/>
      <color rgb="FFFF0000"/>
      <name val="Calibri"/>
      <family val="2"/>
      <scheme val="minor"/>
    </font>
    <font>
      <b/>
      <sz val="7"/>
      <name val="Calibri"/>
      <family val="2"/>
    </font>
    <font>
      <b/>
      <sz val="12"/>
      <color theme="3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9.5"/>
      <name val="Verdana"/>
      <family val="2"/>
    </font>
    <font>
      <sz val="9.5"/>
      <name val="Verdana"/>
      <family val="2"/>
    </font>
    <font>
      <b/>
      <sz val="11"/>
      <color rgb="FFEB3C46"/>
      <name val="Calibri"/>
      <family val="2"/>
      <scheme val="minor"/>
    </font>
    <font>
      <sz val="11"/>
      <color rgb="FFEB3C47"/>
      <name val="Calibri"/>
      <family val="2"/>
      <scheme val="minor"/>
    </font>
    <font>
      <b/>
      <sz val="11"/>
      <color rgb="FFEB3C47"/>
      <name val="Calibri"/>
      <family val="2"/>
      <scheme val="minor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11"/>
      <color rgb="FF0F69B4"/>
      <name val="Calibri"/>
      <family val="2"/>
      <scheme val="minor"/>
    </font>
    <font>
      <sz val="11"/>
      <color rgb="FF0F69B4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indexed="63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1"/>
      <color rgb="FFEB3C46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indexed="10"/>
      <name val="Trebuchet MS"/>
      <family val="2"/>
    </font>
    <font>
      <u/>
      <sz val="11"/>
      <color rgb="FFEB3C47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 tint="-0.249977111117893"/>
      <name val="Calibri"/>
      <family val="2"/>
    </font>
    <font>
      <b/>
      <sz val="13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Calibri"/>
      <family val="2"/>
    </font>
    <font>
      <sz val="9"/>
      <color theme="0"/>
      <name val="Verdana"/>
      <family val="2"/>
    </font>
    <font>
      <sz val="9"/>
      <color rgb="FF0A4682"/>
      <name val="Verdana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212529"/>
      <name val="Arial"/>
      <family val="2"/>
    </font>
    <font>
      <b/>
      <sz val="14"/>
      <color theme="0"/>
      <name val="Verdana"/>
      <family val="2"/>
    </font>
    <font>
      <b/>
      <sz val="10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9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theme="9" tint="0.79998168889431442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69B4"/>
        <bgColor indexed="64"/>
      </patternFill>
    </fill>
    <fill>
      <patternFill patternType="solid">
        <fgColor rgb="FF006CB7"/>
        <bgColor indexed="64"/>
      </patternFill>
    </fill>
    <fill>
      <patternFill patternType="solid">
        <fgColor rgb="FF0A468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1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9" fontId="8" fillId="0" borderId="0" applyFont="0" applyFill="0" applyBorder="0" applyAlignment="0" applyProtection="0"/>
    <xf numFmtId="0" fontId="5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4" fillId="0" borderId="0"/>
    <xf numFmtId="0" fontId="20" fillId="0" borderId="0"/>
    <xf numFmtId="0" fontId="20" fillId="0" borderId="0"/>
    <xf numFmtId="0" fontId="20" fillId="0" borderId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111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9" fillId="0" borderId="0"/>
    <xf numFmtId="0" fontId="44" fillId="0" borderId="0"/>
    <xf numFmtId="0" fontId="3" fillId="0" borderId="0"/>
    <xf numFmtId="0" fontId="8" fillId="0" borderId="0"/>
    <xf numFmtId="0" fontId="119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42" fontId="8" fillId="0" borderId="0" applyFont="0" applyFill="0" applyBorder="0" applyAlignment="0" applyProtection="0"/>
  </cellStyleXfs>
  <cellXfs count="1070">
    <xf numFmtId="0" fontId="0" fillId="0" borderId="0" xfId="0"/>
    <xf numFmtId="0" fontId="9" fillId="0" borderId="0" xfId="2" applyFont="1" applyAlignment="1">
      <alignment horizontal="center"/>
    </xf>
    <xf numFmtId="0" fontId="11" fillId="0" borderId="0" xfId="2" applyFont="1"/>
    <xf numFmtId="10" fontId="11" fillId="0" borderId="0" xfId="2" applyNumberFormat="1" applyFont="1"/>
    <xf numFmtId="0" fontId="12" fillId="0" borderId="0" xfId="2" applyFont="1" applyAlignment="1">
      <alignment horizontal="left"/>
    </xf>
    <xf numFmtId="0" fontId="5" fillId="0" borderId="0" xfId="2"/>
    <xf numFmtId="10" fontId="5" fillId="0" borderId="0" xfId="2" applyNumberFormat="1"/>
    <xf numFmtId="0" fontId="15" fillId="4" borderId="1" xfId="2" applyFont="1" applyFill="1" applyBorder="1" applyAlignment="1">
      <alignment horizontal="center"/>
    </xf>
    <xf numFmtId="0" fontId="15" fillId="4" borderId="9" xfId="2" applyFont="1" applyFill="1" applyBorder="1" applyAlignment="1">
      <alignment horizontal="center"/>
    </xf>
    <xf numFmtId="0" fontId="16" fillId="3" borderId="10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9" xfId="2" applyFont="1" applyFill="1" applyBorder="1" applyAlignment="1">
      <alignment horizontal="center" vertical="center" wrapText="1"/>
    </xf>
    <xf numFmtId="9" fontId="18" fillId="5" borderId="13" xfId="2" applyNumberFormat="1" applyFont="1" applyFill="1" applyBorder="1" applyAlignment="1">
      <alignment horizontal="center" vertical="center" wrapText="1"/>
    </xf>
    <xf numFmtId="10" fontId="18" fillId="5" borderId="14" xfId="2" applyNumberFormat="1" applyFont="1" applyFill="1" applyBorder="1" applyAlignment="1">
      <alignment horizontal="center" vertical="center" wrapText="1"/>
    </xf>
    <xf numFmtId="0" fontId="15" fillId="6" borderId="8" xfId="2" applyFont="1" applyFill="1" applyBorder="1" applyAlignment="1">
      <alignment horizontal="center" vertical="center" wrapText="1"/>
    </xf>
    <xf numFmtId="1" fontId="5" fillId="0" borderId="0" xfId="2" applyNumberFormat="1"/>
    <xf numFmtId="0" fontId="19" fillId="3" borderId="15" xfId="2" applyFont="1" applyFill="1" applyBorder="1"/>
    <xf numFmtId="10" fontId="22" fillId="6" borderId="16" xfId="2" applyNumberFormat="1" applyFont="1" applyFill="1" applyBorder="1"/>
    <xf numFmtId="10" fontId="23" fillId="0" borderId="0" xfId="2" applyNumberFormat="1" applyFont="1"/>
    <xf numFmtId="0" fontId="19" fillId="3" borderId="17" xfId="2" applyFont="1" applyFill="1" applyBorder="1"/>
    <xf numFmtId="1" fontId="21" fillId="4" borderId="18" xfId="3" applyNumberFormat="1" applyFont="1" applyFill="1" applyBorder="1" applyProtection="1"/>
    <xf numFmtId="1" fontId="21" fillId="4" borderId="19" xfId="4" applyNumberFormat="1" applyFont="1" applyFill="1" applyBorder="1" applyProtection="1">
      <protection locked="0"/>
    </xf>
    <xf numFmtId="10" fontId="21" fillId="3" borderId="19" xfId="4" applyNumberFormat="1" applyFont="1" applyFill="1" applyBorder="1" applyProtection="1">
      <protection locked="0"/>
    </xf>
    <xf numFmtId="165" fontId="21" fillId="5" borderId="19" xfId="2" applyNumberFormat="1" applyFont="1" applyFill="1" applyBorder="1"/>
    <xf numFmtId="10" fontId="21" fillId="5" borderId="19" xfId="4" applyNumberFormat="1" applyFont="1" applyFill="1" applyBorder="1" applyProtection="1">
      <protection locked="0"/>
    </xf>
    <xf numFmtId="165" fontId="21" fillId="6" borderId="19" xfId="3" applyNumberFormat="1" applyFont="1" applyFill="1" applyBorder="1" applyAlignment="1">
      <alignment horizontal="right"/>
    </xf>
    <xf numFmtId="10" fontId="22" fillId="6" borderId="20" xfId="2" applyNumberFormat="1" applyFont="1" applyFill="1" applyBorder="1"/>
    <xf numFmtId="0" fontId="19" fillId="3" borderId="23" xfId="2" applyFont="1" applyFill="1" applyBorder="1"/>
    <xf numFmtId="0" fontId="19" fillId="3" borderId="25" xfId="2" applyFont="1" applyFill="1" applyBorder="1"/>
    <xf numFmtId="0" fontId="19" fillId="3" borderId="10" xfId="2" applyFont="1" applyFill="1" applyBorder="1"/>
    <xf numFmtId="1" fontId="21" fillId="4" borderId="10" xfId="3" applyNumberFormat="1" applyFont="1" applyFill="1" applyBorder="1" applyProtection="1"/>
    <xf numFmtId="1" fontId="21" fillId="4" borderId="9" xfId="4" applyNumberFormat="1" applyFont="1" applyFill="1" applyBorder="1" applyProtection="1">
      <protection locked="0"/>
    </xf>
    <xf numFmtId="10" fontId="21" fillId="3" borderId="9" xfId="4" applyNumberFormat="1" applyFont="1" applyFill="1" applyBorder="1" applyProtection="1">
      <protection locked="0"/>
    </xf>
    <xf numFmtId="1" fontId="21" fillId="4" borderId="15" xfId="3" applyNumberFormat="1" applyFont="1" applyFill="1" applyBorder="1" applyProtection="1"/>
    <xf numFmtId="1" fontId="21" fillId="4" borderId="26" xfId="4" applyNumberFormat="1" applyFont="1" applyFill="1" applyBorder="1" applyProtection="1">
      <protection locked="0"/>
    </xf>
    <xf numFmtId="10" fontId="21" fillId="3" borderId="27" xfId="4" applyNumberFormat="1" applyFont="1" applyFill="1" applyBorder="1" applyProtection="1">
      <protection locked="0"/>
    </xf>
    <xf numFmtId="165" fontId="21" fillId="5" borderId="1" xfId="2" applyNumberFormat="1" applyFont="1" applyFill="1" applyBorder="1"/>
    <xf numFmtId="10" fontId="21" fillId="5" borderId="16" xfId="4" applyNumberFormat="1" applyFont="1" applyFill="1" applyBorder="1" applyProtection="1">
      <protection locked="0"/>
    </xf>
    <xf numFmtId="1" fontId="21" fillId="4" borderId="17" xfId="3" applyNumberFormat="1" applyFont="1" applyFill="1" applyBorder="1" applyProtection="1"/>
    <xf numFmtId="1" fontId="21" fillId="4" borderId="29" xfId="4" applyNumberFormat="1" applyFont="1" applyFill="1" applyBorder="1" applyProtection="1">
      <protection locked="0"/>
    </xf>
    <xf numFmtId="10" fontId="21" fillId="3" borderId="30" xfId="4" applyNumberFormat="1" applyFont="1" applyFill="1" applyBorder="1" applyProtection="1">
      <protection locked="0"/>
    </xf>
    <xf numFmtId="165" fontId="21" fillId="5" borderId="4" xfId="2" applyNumberFormat="1" applyFont="1" applyFill="1" applyBorder="1"/>
    <xf numFmtId="10" fontId="21" fillId="5" borderId="20" xfId="4" applyNumberFormat="1" applyFont="1" applyFill="1" applyBorder="1" applyProtection="1">
      <protection locked="0"/>
    </xf>
    <xf numFmtId="165" fontId="21" fillId="6" borderId="31" xfId="3" applyNumberFormat="1" applyFont="1" applyFill="1" applyBorder="1" applyAlignment="1">
      <alignment horizontal="right"/>
    </xf>
    <xf numFmtId="1" fontId="21" fillId="4" borderId="21" xfId="3" applyNumberFormat="1" applyFont="1" applyFill="1" applyBorder="1" applyProtection="1"/>
    <xf numFmtId="10" fontId="21" fillId="3" borderId="33" xfId="4" applyNumberFormat="1" applyFont="1" applyFill="1" applyBorder="1" applyProtection="1">
      <protection locked="0"/>
    </xf>
    <xf numFmtId="10" fontId="21" fillId="5" borderId="22" xfId="4" applyNumberFormat="1" applyFont="1" applyFill="1" applyBorder="1" applyProtection="1">
      <protection locked="0"/>
    </xf>
    <xf numFmtId="1" fontId="21" fillId="4" borderId="23" xfId="3" applyNumberFormat="1" applyFont="1" applyFill="1" applyBorder="1" applyProtection="1"/>
    <xf numFmtId="1" fontId="21" fillId="4" borderId="35" xfId="4" applyNumberFormat="1" applyFont="1" applyFill="1" applyBorder="1" applyProtection="1">
      <protection locked="0"/>
    </xf>
    <xf numFmtId="10" fontId="21" fillId="3" borderId="36" xfId="4" applyNumberFormat="1" applyFont="1" applyFill="1" applyBorder="1" applyProtection="1">
      <protection locked="0"/>
    </xf>
    <xf numFmtId="165" fontId="21" fillId="5" borderId="6" xfId="2" applyNumberFormat="1" applyFont="1" applyFill="1" applyBorder="1"/>
    <xf numFmtId="10" fontId="21" fillId="5" borderId="24" xfId="4" applyNumberFormat="1" applyFont="1" applyFill="1" applyBorder="1" applyProtection="1">
      <protection locked="0"/>
    </xf>
    <xf numFmtId="1" fontId="21" fillId="4" borderId="25" xfId="3" applyNumberFormat="1" applyFont="1" applyFill="1" applyBorder="1" applyProtection="1"/>
    <xf numFmtId="1" fontId="21" fillId="4" borderId="38" xfId="4" applyNumberFormat="1" applyFont="1" applyFill="1" applyBorder="1" applyProtection="1">
      <protection locked="0"/>
    </xf>
    <xf numFmtId="10" fontId="21" fillId="3" borderId="39" xfId="4" applyNumberFormat="1" applyFont="1" applyFill="1" applyBorder="1" applyProtection="1">
      <protection locked="0"/>
    </xf>
    <xf numFmtId="10" fontId="21" fillId="5" borderId="40" xfId="4" applyNumberFormat="1" applyFont="1" applyFill="1" applyBorder="1" applyProtection="1">
      <protection locked="0"/>
    </xf>
    <xf numFmtId="0" fontId="24" fillId="0" borderId="0" xfId="2" applyFont="1"/>
    <xf numFmtId="0" fontId="23" fillId="0" borderId="0" xfId="2" applyFont="1"/>
    <xf numFmtId="0" fontId="5" fillId="7" borderId="0" xfId="2" applyFill="1"/>
    <xf numFmtId="0" fontId="5" fillId="7" borderId="1" xfId="2" applyFill="1" applyBorder="1"/>
    <xf numFmtId="0" fontId="15" fillId="4" borderId="10" xfId="2" applyFont="1" applyFill="1" applyBorder="1" applyAlignment="1">
      <alignment horizontal="center"/>
    </xf>
    <xf numFmtId="0" fontId="15" fillId="4" borderId="42" xfId="2" applyFont="1" applyFill="1" applyBorder="1" applyAlignment="1">
      <alignment horizontal="center"/>
    </xf>
    <xf numFmtId="0" fontId="16" fillId="7" borderId="10" xfId="2" applyFont="1" applyFill="1" applyBorder="1" applyAlignment="1">
      <alignment horizontal="center" vertical="center" wrapText="1"/>
    </xf>
    <xf numFmtId="9" fontId="15" fillId="9" borderId="9" xfId="2" applyNumberFormat="1" applyFont="1" applyFill="1" applyBorder="1" applyAlignment="1">
      <alignment horizontal="center" vertical="center" wrapText="1"/>
    </xf>
    <xf numFmtId="3" fontId="5" fillId="0" borderId="0" xfId="2" applyNumberFormat="1"/>
    <xf numFmtId="1" fontId="26" fillId="0" borderId="0" xfId="2" applyNumberFormat="1" applyFont="1"/>
    <xf numFmtId="1" fontId="27" fillId="0" borderId="0" xfId="0" applyNumberFormat="1" applyFont="1"/>
    <xf numFmtId="2" fontId="28" fillId="0" borderId="0" xfId="0" applyNumberFormat="1" applyFont="1"/>
    <xf numFmtId="3" fontId="21" fillId="4" borderId="15" xfId="3" applyNumberFormat="1" applyFont="1" applyFill="1" applyBorder="1" applyProtection="1"/>
    <xf numFmtId="3" fontId="21" fillId="4" borderId="26" xfId="4" applyNumberFormat="1" applyFont="1" applyFill="1" applyBorder="1" applyProtection="1">
      <protection locked="0"/>
    </xf>
    <xf numFmtId="2" fontId="5" fillId="9" borderId="26" xfId="2" applyNumberFormat="1" applyFill="1" applyBorder="1"/>
    <xf numFmtId="10" fontId="22" fillId="6" borderId="42" xfId="2" applyNumberFormat="1" applyFont="1" applyFill="1" applyBorder="1"/>
    <xf numFmtId="2" fontId="5" fillId="0" borderId="0" xfId="2" applyNumberFormat="1"/>
    <xf numFmtId="3" fontId="21" fillId="4" borderId="17" xfId="3" applyNumberFormat="1" applyFont="1" applyFill="1" applyBorder="1" applyProtection="1"/>
    <xf numFmtId="3" fontId="21" fillId="4" borderId="29" xfId="4" applyNumberFormat="1" applyFont="1" applyFill="1" applyBorder="1" applyProtection="1">
      <protection locked="0"/>
    </xf>
    <xf numFmtId="2" fontId="23" fillId="8" borderId="29" xfId="2" applyNumberFormat="1" applyFont="1" applyFill="1" applyBorder="1"/>
    <xf numFmtId="2" fontId="5" fillId="9" borderId="29" xfId="2" applyNumberFormat="1" applyFill="1" applyBorder="1"/>
    <xf numFmtId="10" fontId="22" fillId="6" borderId="43" xfId="2" applyNumberFormat="1" applyFont="1" applyFill="1" applyBorder="1"/>
    <xf numFmtId="0" fontId="19" fillId="7" borderId="17" xfId="2" applyFont="1" applyFill="1" applyBorder="1"/>
    <xf numFmtId="3" fontId="21" fillId="4" borderId="21" xfId="3" applyNumberFormat="1" applyFont="1" applyFill="1" applyBorder="1" applyProtection="1"/>
    <xf numFmtId="3" fontId="21" fillId="4" borderId="32" xfId="4" applyNumberFormat="1" applyFont="1" applyFill="1" applyBorder="1" applyProtection="1">
      <protection locked="0"/>
    </xf>
    <xf numFmtId="3" fontId="21" fillId="4" borderId="23" xfId="3" applyNumberFormat="1" applyFont="1" applyFill="1" applyBorder="1" applyProtection="1"/>
    <xf numFmtId="2" fontId="5" fillId="9" borderId="35" xfId="2" applyNumberFormat="1" applyFill="1" applyBorder="1"/>
    <xf numFmtId="10" fontId="22" fillId="6" borderId="44" xfId="2" applyNumberFormat="1" applyFont="1" applyFill="1" applyBorder="1"/>
    <xf numFmtId="3" fontId="21" fillId="4" borderId="10" xfId="3" applyNumberFormat="1" applyFont="1" applyFill="1" applyBorder="1" applyProtection="1"/>
    <xf numFmtId="3" fontId="21" fillId="4" borderId="9" xfId="3" applyNumberFormat="1" applyFont="1" applyFill="1" applyBorder="1" applyProtection="1"/>
    <xf numFmtId="2" fontId="23" fillId="8" borderId="9" xfId="2" applyNumberFormat="1" applyFont="1" applyFill="1" applyBorder="1"/>
    <xf numFmtId="0" fontId="29" fillId="10" borderId="45" xfId="0" applyFont="1" applyFill="1" applyBorder="1" applyAlignment="1">
      <alignment vertical="center" wrapText="1"/>
    </xf>
    <xf numFmtId="0" fontId="30" fillId="11" borderId="0" xfId="2" applyFont="1" applyFill="1" applyAlignment="1">
      <alignment horizontal="center" vertical="center"/>
    </xf>
    <xf numFmtId="0" fontId="16" fillId="12" borderId="45" xfId="0" applyFont="1" applyFill="1" applyBorder="1" applyAlignment="1">
      <alignment horizontal="center" vertical="center" wrapText="1"/>
    </xf>
    <xf numFmtId="166" fontId="31" fillId="11" borderId="46" xfId="2" applyNumberFormat="1" applyFont="1" applyFill="1" applyBorder="1" applyAlignment="1">
      <alignment horizontal="center" vertical="center" wrapText="1"/>
    </xf>
    <xf numFmtId="166" fontId="31" fillId="13" borderId="46" xfId="2" applyNumberFormat="1" applyFont="1" applyFill="1" applyBorder="1" applyAlignment="1">
      <alignment horizontal="center" vertical="center" wrapText="1"/>
    </xf>
    <xf numFmtId="0" fontId="32" fillId="11" borderId="46" xfId="2" applyFont="1" applyFill="1" applyBorder="1" applyAlignment="1">
      <alignment horizontal="center" vertical="center" wrapText="1"/>
    </xf>
    <xf numFmtId="0" fontId="0" fillId="14" borderId="47" xfId="0" applyFill="1" applyBorder="1"/>
    <xf numFmtId="2" fontId="33" fillId="11" borderId="45" xfId="2" applyNumberFormat="1" applyFont="1" applyFill="1" applyBorder="1" applyAlignment="1">
      <alignment horizontal="center"/>
    </xf>
    <xf numFmtId="165" fontId="33" fillId="11" borderId="45" xfId="1" applyNumberFormat="1" applyFont="1" applyFill="1" applyBorder="1" applyAlignment="1">
      <alignment horizontal="center" vertical="center" wrapText="1"/>
    </xf>
    <xf numFmtId="3" fontId="6" fillId="13" borderId="0" xfId="2" applyNumberFormat="1" applyFont="1" applyFill="1" applyAlignment="1">
      <alignment horizontal="center"/>
    </xf>
    <xf numFmtId="1" fontId="6" fillId="13" borderId="0" xfId="2" applyNumberFormat="1" applyFont="1" applyFill="1" applyAlignment="1">
      <alignment horizontal="center"/>
    </xf>
    <xf numFmtId="165" fontId="34" fillId="11" borderId="45" xfId="1" applyNumberFormat="1" applyFont="1" applyFill="1" applyBorder="1" applyAlignment="1">
      <alignment horizontal="center" vertical="center" wrapText="1"/>
    </xf>
    <xf numFmtId="1" fontId="34" fillId="11" borderId="45" xfId="2" applyNumberFormat="1" applyFont="1" applyFill="1" applyBorder="1" applyAlignment="1">
      <alignment horizontal="center" vertical="center" wrapText="1"/>
    </xf>
    <xf numFmtId="167" fontId="11" fillId="0" borderId="0" xfId="2" applyNumberFormat="1" applyFont="1"/>
    <xf numFmtId="1" fontId="24" fillId="0" borderId="0" xfId="2" applyNumberFormat="1" applyFont="1"/>
    <xf numFmtId="167" fontId="5" fillId="0" borderId="0" xfId="2" applyNumberFormat="1"/>
    <xf numFmtId="1" fontId="23" fillId="0" borderId="0" xfId="2" applyNumberFormat="1" applyFont="1"/>
    <xf numFmtId="10" fontId="0" fillId="0" borderId="0" xfId="0" applyNumberFormat="1"/>
    <xf numFmtId="167" fontId="35" fillId="0" borderId="0" xfId="2" applyNumberFormat="1" applyFont="1"/>
    <xf numFmtId="10" fontId="22" fillId="6" borderId="28" xfId="3" applyNumberFormat="1" applyFont="1" applyFill="1" applyBorder="1" applyAlignment="1">
      <alignment horizontal="right"/>
    </xf>
    <xf numFmtId="10" fontId="21" fillId="5" borderId="4" xfId="2" applyNumberFormat="1" applyFont="1" applyFill="1" applyBorder="1"/>
    <xf numFmtId="10" fontId="22" fillId="6" borderId="31" xfId="3" applyNumberFormat="1" applyFont="1" applyFill="1" applyBorder="1" applyAlignment="1">
      <alignment horizontal="right"/>
    </xf>
    <xf numFmtId="165" fontId="22" fillId="6" borderId="28" xfId="3" applyNumberFormat="1" applyFont="1" applyFill="1" applyBorder="1" applyAlignment="1">
      <alignment horizontal="right"/>
    </xf>
    <xf numFmtId="0" fontId="28" fillId="0" borderId="0" xfId="0" applyFont="1"/>
    <xf numFmtId="10" fontId="28" fillId="0" borderId="0" xfId="0" applyNumberFormat="1" applyFont="1"/>
    <xf numFmtId="165" fontId="22" fillId="6" borderId="31" xfId="3" applyNumberFormat="1" applyFont="1" applyFill="1" applyBorder="1" applyAlignment="1">
      <alignment horizontal="right"/>
    </xf>
    <xf numFmtId="3" fontId="21" fillId="4" borderId="25" xfId="3" applyNumberFormat="1" applyFont="1" applyFill="1" applyBorder="1" applyProtection="1"/>
    <xf numFmtId="3" fontId="21" fillId="4" borderId="38" xfId="4" applyNumberFormat="1" applyFont="1" applyFill="1" applyBorder="1" applyProtection="1">
      <protection locked="0"/>
    </xf>
    <xf numFmtId="165" fontId="22" fillId="6" borderId="41" xfId="3" applyNumberFormat="1" applyFont="1" applyFill="1" applyBorder="1" applyAlignment="1">
      <alignment horizontal="right"/>
    </xf>
    <xf numFmtId="165" fontId="22" fillId="6" borderId="37" xfId="3" applyNumberFormat="1" applyFont="1" applyFill="1" applyBorder="1" applyAlignment="1">
      <alignment horizontal="right"/>
    </xf>
    <xf numFmtId="2" fontId="11" fillId="0" borderId="0" xfId="2" applyNumberFormat="1" applyFont="1"/>
    <xf numFmtId="0" fontId="15" fillId="6" borderId="9" xfId="2" applyFont="1" applyFill="1" applyBorder="1" applyAlignment="1">
      <alignment horizontal="center" vertical="center" wrapText="1"/>
    </xf>
    <xf numFmtId="2" fontId="21" fillId="5" borderId="1" xfId="2" applyNumberFormat="1" applyFont="1" applyFill="1" applyBorder="1"/>
    <xf numFmtId="165" fontId="22" fillId="6" borderId="26" xfId="3" applyNumberFormat="1" applyFont="1" applyFill="1" applyBorder="1" applyAlignment="1">
      <alignment horizontal="right"/>
    </xf>
    <xf numFmtId="0" fontId="7" fillId="0" borderId="0" xfId="2" applyFont="1"/>
    <xf numFmtId="3" fontId="7" fillId="0" borderId="0" xfId="2" applyNumberFormat="1" applyFont="1"/>
    <xf numFmtId="2" fontId="21" fillId="5" borderId="4" xfId="2" applyNumberFormat="1" applyFont="1" applyFill="1" applyBorder="1"/>
    <xf numFmtId="165" fontId="22" fillId="6" borderId="29" xfId="3" applyNumberFormat="1" applyFont="1" applyFill="1" applyBorder="1" applyAlignment="1">
      <alignment horizontal="right"/>
    </xf>
    <xf numFmtId="2" fontId="21" fillId="3" borderId="36" xfId="4" applyNumberFormat="1" applyFont="1" applyFill="1" applyBorder="1" applyProtection="1">
      <protection locked="0"/>
    </xf>
    <xf numFmtId="2" fontId="21" fillId="5" borderId="6" xfId="2" applyNumberFormat="1" applyFont="1" applyFill="1" applyBorder="1"/>
    <xf numFmtId="165" fontId="22" fillId="6" borderId="35" xfId="3" applyNumberFormat="1" applyFont="1" applyFill="1" applyBorder="1" applyAlignment="1">
      <alignment horizontal="right"/>
    </xf>
    <xf numFmtId="3" fontId="21" fillId="4" borderId="1" xfId="3" applyNumberFormat="1" applyFont="1" applyFill="1" applyBorder="1" applyProtection="1"/>
    <xf numFmtId="2" fontId="21" fillId="3" borderId="2" xfId="4" applyNumberFormat="1" applyFont="1" applyFill="1" applyBorder="1" applyProtection="1">
      <protection locked="0"/>
    </xf>
    <xf numFmtId="165" fontId="22" fillId="6" borderId="42" xfId="3" applyNumberFormat="1" applyFont="1" applyFill="1" applyBorder="1" applyAlignment="1">
      <alignment horizontal="right"/>
    </xf>
    <xf numFmtId="2" fontId="21" fillId="3" borderId="39" xfId="4" applyNumberFormat="1" applyFont="1" applyFill="1" applyBorder="1" applyProtection="1">
      <protection locked="0"/>
    </xf>
    <xf numFmtId="165" fontId="22" fillId="6" borderId="38" xfId="3" applyNumberFormat="1" applyFont="1" applyFill="1" applyBorder="1" applyAlignment="1">
      <alignment horizontal="right"/>
    </xf>
    <xf numFmtId="2" fontId="21" fillId="3" borderId="9" xfId="4" applyNumberFormat="1" applyFont="1" applyFill="1" applyBorder="1" applyProtection="1">
      <protection locked="0"/>
    </xf>
    <xf numFmtId="10" fontId="24" fillId="0" borderId="0" xfId="2" applyNumberFormat="1" applyFont="1"/>
    <xf numFmtId="0" fontId="20" fillId="0" borderId="0" xfId="2" applyFont="1"/>
    <xf numFmtId="0" fontId="20" fillId="0" borderId="0" xfId="2" applyFont="1" applyAlignment="1">
      <alignment horizontal="center"/>
    </xf>
    <xf numFmtId="0" fontId="17" fillId="4" borderId="49" xfId="2" applyFont="1" applyFill="1" applyBorder="1" applyAlignment="1">
      <alignment horizontal="center" vertical="center" wrapText="1"/>
    </xf>
    <xf numFmtId="0" fontId="40" fillId="0" borderId="52" xfId="2" applyFont="1" applyBorder="1"/>
    <xf numFmtId="0" fontId="5" fillId="0" borderId="0" xfId="2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10" fontId="40" fillId="0" borderId="0" xfId="2" applyNumberFormat="1" applyFont="1"/>
    <xf numFmtId="1" fontId="21" fillId="0" borderId="54" xfId="4" applyNumberFormat="1" applyFont="1" applyFill="1" applyBorder="1" applyProtection="1">
      <protection locked="0"/>
    </xf>
    <xf numFmtId="165" fontId="22" fillId="6" borderId="34" xfId="3" applyNumberFormat="1" applyFont="1" applyFill="1" applyBorder="1" applyAlignment="1">
      <alignment horizontal="right"/>
    </xf>
    <xf numFmtId="10" fontId="33" fillId="11" borderId="45" xfId="1" applyNumberFormat="1" applyFont="1" applyFill="1" applyBorder="1" applyAlignment="1">
      <alignment horizontal="center"/>
    </xf>
    <xf numFmtId="10" fontId="33" fillId="11" borderId="45" xfId="1" applyNumberFormat="1" applyFont="1" applyFill="1" applyBorder="1" applyAlignment="1">
      <alignment horizontal="center" vertical="center" wrapText="1"/>
    </xf>
    <xf numFmtId="1" fontId="45" fillId="0" borderId="62" xfId="5" applyNumberFormat="1" applyFont="1" applyBorder="1" applyAlignment="1">
      <alignment horizontal="center"/>
    </xf>
    <xf numFmtId="1" fontId="45" fillId="0" borderId="45" xfId="5" applyNumberFormat="1" applyFont="1" applyBorder="1" applyAlignment="1">
      <alignment horizontal="center"/>
    </xf>
    <xf numFmtId="1" fontId="46" fillId="0" borderId="63" xfId="5" applyNumberFormat="1" applyFont="1" applyBorder="1"/>
    <xf numFmtId="1" fontId="46" fillId="7" borderId="64" xfId="5" applyNumberFormat="1" applyFont="1" applyFill="1" applyBorder="1"/>
    <xf numFmtId="1" fontId="46" fillId="0" borderId="65" xfId="5" applyNumberFormat="1" applyFont="1" applyBorder="1"/>
    <xf numFmtId="1" fontId="46" fillId="7" borderId="66" xfId="5" applyNumberFormat="1" applyFont="1" applyFill="1" applyBorder="1"/>
    <xf numFmtId="165" fontId="5" fillId="0" borderId="0" xfId="2" applyNumberFormat="1"/>
    <xf numFmtId="0" fontId="12" fillId="0" borderId="0" xfId="6" applyFont="1" applyAlignment="1">
      <alignment horizontal="center"/>
    </xf>
    <xf numFmtId="1" fontId="11" fillId="0" borderId="0" xfId="6" applyNumberFormat="1" applyFont="1"/>
    <xf numFmtId="0" fontId="47" fillId="0" borderId="0" xfId="0" applyFont="1"/>
    <xf numFmtId="165" fontId="47" fillId="0" borderId="0" xfId="0" applyNumberFormat="1" applyFont="1"/>
    <xf numFmtId="10" fontId="47" fillId="0" borderId="0" xfId="0" applyNumberFormat="1" applyFont="1"/>
    <xf numFmtId="10" fontId="11" fillId="0" borderId="0" xfId="6" applyNumberFormat="1" applyFont="1"/>
    <xf numFmtId="0" fontId="11" fillId="0" borderId="0" xfId="6" applyFont="1"/>
    <xf numFmtId="0" fontId="20" fillId="0" borderId="0" xfId="6"/>
    <xf numFmtId="10" fontId="20" fillId="0" borderId="0" xfId="6" applyNumberFormat="1"/>
    <xf numFmtId="0" fontId="48" fillId="0" borderId="0" xfId="6" applyFont="1"/>
    <xf numFmtId="1" fontId="20" fillId="0" borderId="0" xfId="6" applyNumberFormat="1"/>
    <xf numFmtId="165" fontId="0" fillId="0" borderId="0" xfId="0" applyNumberFormat="1"/>
    <xf numFmtId="0" fontId="20" fillId="7" borderId="0" xfId="6" applyFill="1"/>
    <xf numFmtId="0" fontId="49" fillId="0" borderId="0" xfId="0" applyFont="1"/>
    <xf numFmtId="165" fontId="49" fillId="0" borderId="0" xfId="0" applyNumberFormat="1" applyFont="1"/>
    <xf numFmtId="10" fontId="49" fillId="0" borderId="0" xfId="0" applyNumberFormat="1" applyFont="1"/>
    <xf numFmtId="0" fontId="50" fillId="4" borderId="9" xfId="7" applyFont="1" applyFill="1" applyBorder="1" applyAlignment="1">
      <alignment horizontal="center" vertical="center" wrapText="1"/>
    </xf>
    <xf numFmtId="1" fontId="20" fillId="0" borderId="0" xfId="7" applyNumberFormat="1"/>
    <xf numFmtId="165" fontId="20" fillId="0" borderId="0" xfId="6" applyNumberFormat="1"/>
    <xf numFmtId="0" fontId="17" fillId="4" borderId="9" xfId="7" applyFont="1" applyFill="1" applyBorder="1" applyAlignment="1">
      <alignment horizontal="center" vertical="center" wrapText="1"/>
    </xf>
    <xf numFmtId="9" fontId="18" fillId="5" borderId="13" xfId="6" applyNumberFormat="1" applyFont="1" applyFill="1" applyBorder="1" applyAlignment="1">
      <alignment horizontal="center" vertical="center" wrapText="1"/>
    </xf>
    <xf numFmtId="0" fontId="15" fillId="6" borderId="8" xfId="6" applyFont="1" applyFill="1" applyBorder="1" applyAlignment="1">
      <alignment horizontal="center" vertical="center" wrapText="1"/>
    </xf>
    <xf numFmtId="1" fontId="48" fillId="0" borderId="45" xfId="6" applyNumberFormat="1" applyFont="1" applyBorder="1" applyAlignment="1">
      <alignment horizontal="center" vertical="center" wrapText="1"/>
    </xf>
    <xf numFmtId="1" fontId="17" fillId="3" borderId="45" xfId="7" applyNumberFormat="1" applyFont="1" applyFill="1" applyBorder="1" applyAlignment="1">
      <alignment horizontal="center" vertical="center" wrapText="1"/>
    </xf>
    <xf numFmtId="10" fontId="17" fillId="3" borderId="45" xfId="7" applyNumberFormat="1" applyFont="1" applyFill="1" applyBorder="1" applyAlignment="1">
      <alignment horizontal="center" vertical="center" wrapText="1"/>
    </xf>
    <xf numFmtId="0" fontId="20" fillId="18" borderId="45" xfId="6" applyFill="1" applyBorder="1" applyAlignment="1">
      <alignment horizontal="center" vertical="center" wrapText="1"/>
    </xf>
    <xf numFmtId="0" fontId="20" fillId="0" borderId="45" xfId="6" applyBorder="1" applyAlignment="1">
      <alignment horizontal="center" vertical="center" wrapText="1"/>
    </xf>
    <xf numFmtId="3" fontId="41" fillId="4" borderId="15" xfId="7" applyNumberFormat="1" applyFont="1" applyFill="1" applyBorder="1" applyAlignment="1">
      <alignment horizontal="right" vertical="center" wrapText="1"/>
    </xf>
    <xf numFmtId="10" fontId="7" fillId="0" borderId="0" xfId="2" applyNumberFormat="1" applyFont="1"/>
    <xf numFmtId="1" fontId="23" fillId="0" borderId="55" xfId="6" applyNumberFormat="1" applyFont="1" applyBorder="1"/>
    <xf numFmtId="1" fontId="51" fillId="0" borderId="0" xfId="7" applyNumberFormat="1" applyFont="1"/>
    <xf numFmtId="1" fontId="51" fillId="0" borderId="0" xfId="6" applyNumberFormat="1" applyFont="1"/>
    <xf numFmtId="10" fontId="51" fillId="19" borderId="45" xfId="3" applyNumberFormat="1" applyFont="1" applyFill="1" applyBorder="1" applyProtection="1"/>
    <xf numFmtId="10" fontId="21" fillId="3" borderId="4" xfId="6" applyNumberFormat="1" applyFont="1" applyFill="1" applyBorder="1"/>
    <xf numFmtId="10" fontId="21" fillId="5" borderId="4" xfId="6" applyNumberFormat="1" applyFont="1" applyFill="1" applyBorder="1"/>
    <xf numFmtId="10" fontId="21" fillId="3" borderId="45" xfId="7" applyNumberFormat="1" applyFont="1" applyFill="1" applyBorder="1"/>
    <xf numFmtId="10" fontId="51" fillId="0" borderId="0" xfId="6" applyNumberFormat="1" applyFont="1"/>
    <xf numFmtId="10" fontId="51" fillId="18" borderId="0" xfId="6" applyNumberFormat="1" applyFont="1" applyFill="1"/>
    <xf numFmtId="0" fontId="51" fillId="0" borderId="0" xfId="6" applyFont="1"/>
    <xf numFmtId="0" fontId="51" fillId="18" borderId="0" xfId="6" applyFont="1" applyFill="1"/>
    <xf numFmtId="1" fontId="51" fillId="7" borderId="45" xfId="6" applyNumberFormat="1" applyFont="1" applyFill="1" applyBorder="1"/>
    <xf numFmtId="0" fontId="23" fillId="0" borderId="0" xfId="6" applyFont="1"/>
    <xf numFmtId="1" fontId="23" fillId="0" borderId="0" xfId="6" applyNumberFormat="1" applyFont="1"/>
    <xf numFmtId="165" fontId="28" fillId="0" borderId="0" xfId="0" applyNumberFormat="1" applyFont="1"/>
    <xf numFmtId="1" fontId="51" fillId="7" borderId="46" xfId="6" applyNumberFormat="1" applyFont="1" applyFill="1" applyBorder="1"/>
    <xf numFmtId="1" fontId="23" fillId="20" borderId="0" xfId="6" applyNumberFormat="1" applyFont="1" applyFill="1"/>
    <xf numFmtId="2" fontId="52" fillId="0" borderId="0" xfId="6" applyNumberFormat="1" applyFont="1" applyAlignment="1">
      <alignment horizontal="center"/>
    </xf>
    <xf numFmtId="0" fontId="24" fillId="0" borderId="0" xfId="6" applyFont="1"/>
    <xf numFmtId="2" fontId="52" fillId="0" borderId="0" xfId="2" applyNumberFormat="1" applyFont="1" applyAlignment="1">
      <alignment horizontal="left"/>
    </xf>
    <xf numFmtId="168" fontId="48" fillId="0" borderId="0" xfId="6" applyNumberFormat="1" applyFont="1"/>
    <xf numFmtId="2" fontId="48" fillId="0" borderId="0" xfId="6" applyNumberFormat="1" applyFont="1"/>
    <xf numFmtId="0" fontId="50" fillId="4" borderId="44" xfId="7" applyFont="1" applyFill="1" applyBorder="1" applyAlignment="1">
      <alignment horizontal="center" vertical="center" wrapText="1"/>
    </xf>
    <xf numFmtId="2" fontId="21" fillId="5" borderId="16" xfId="4" applyNumberFormat="1" applyFont="1" applyFill="1" applyBorder="1" applyProtection="1">
      <protection locked="0"/>
    </xf>
    <xf numFmtId="2" fontId="21" fillId="5" borderId="20" xfId="4" applyNumberFormat="1" applyFont="1" applyFill="1" applyBorder="1" applyProtection="1">
      <protection locked="0"/>
    </xf>
    <xf numFmtId="2" fontId="23" fillId="0" borderId="0" xfId="6" applyNumberFormat="1" applyFont="1"/>
    <xf numFmtId="2" fontId="51" fillId="0" borderId="0" xfId="6" applyNumberFormat="1" applyFont="1"/>
    <xf numFmtId="168" fontId="23" fillId="0" borderId="0" xfId="6" applyNumberFormat="1" applyFont="1"/>
    <xf numFmtId="168" fontId="21" fillId="3" borderId="9" xfId="4" applyNumberFormat="1" applyFont="1" applyFill="1" applyBorder="1" applyProtection="1">
      <protection locked="0"/>
    </xf>
    <xf numFmtId="2" fontId="20" fillId="0" borderId="0" xfId="6" applyNumberFormat="1"/>
    <xf numFmtId="0" fontId="0" fillId="21" borderId="0" xfId="0" applyFill="1"/>
    <xf numFmtId="1" fontId="21" fillId="4" borderId="9" xfId="3" applyNumberFormat="1" applyFont="1" applyFill="1" applyBorder="1" applyProtection="1"/>
    <xf numFmtId="0" fontId="15" fillId="6" borderId="44" xfId="2" applyFont="1" applyFill="1" applyBorder="1" applyAlignment="1">
      <alignment horizontal="center" vertical="center" wrapText="1"/>
    </xf>
    <xf numFmtId="0" fontId="53" fillId="0" borderId="0" xfId="2" applyFont="1" applyAlignment="1">
      <alignment horizontal="center"/>
    </xf>
    <xf numFmtId="1" fontId="11" fillId="0" borderId="0" xfId="2" applyNumberFormat="1" applyFont="1"/>
    <xf numFmtId="0" fontId="39" fillId="4" borderId="10" xfId="2" applyFont="1" applyFill="1" applyBorder="1" applyAlignment="1">
      <alignment horizontal="center" vertical="center" wrapText="1"/>
    </xf>
    <xf numFmtId="0" fontId="20" fillId="4" borderId="10" xfId="2" applyFont="1" applyFill="1" applyBorder="1" applyAlignment="1">
      <alignment horizontal="center" vertical="center" wrapText="1"/>
    </xf>
    <xf numFmtId="165" fontId="22" fillId="3" borderId="27" xfId="4" applyNumberFormat="1" applyFont="1" applyFill="1" applyBorder="1" applyProtection="1">
      <protection locked="0"/>
    </xf>
    <xf numFmtId="0" fontId="55" fillId="19" borderId="7" xfId="8" applyFont="1" applyFill="1" applyBorder="1" applyAlignment="1">
      <alignment horizontal="center"/>
    </xf>
    <xf numFmtId="0" fontId="56" fillId="19" borderId="0" xfId="8" applyFont="1" applyFill="1" applyProtection="1">
      <protection locked="0"/>
    </xf>
    <xf numFmtId="0" fontId="57" fillId="5" borderId="2" xfId="8" applyFont="1" applyFill="1" applyBorder="1" applyAlignment="1">
      <alignment horizontal="center" vertical="center" wrapText="1"/>
    </xf>
    <xf numFmtId="0" fontId="60" fillId="19" borderId="0" xfId="8" applyFont="1" applyFill="1"/>
    <xf numFmtId="10" fontId="61" fillId="22" borderId="70" xfId="2" applyNumberFormat="1" applyFont="1" applyFill="1" applyBorder="1" applyAlignment="1">
      <alignment horizontal="center" vertical="center"/>
    </xf>
    <xf numFmtId="10" fontId="61" fillId="22" borderId="54" xfId="2" applyNumberFormat="1" applyFont="1" applyFill="1" applyBorder="1" applyAlignment="1">
      <alignment horizontal="center" vertical="center"/>
    </xf>
    <xf numFmtId="2" fontId="61" fillId="22" borderId="54" xfId="2" applyNumberFormat="1" applyFont="1" applyFill="1" applyBorder="1" applyAlignment="1">
      <alignment horizontal="center" vertical="center"/>
    </xf>
    <xf numFmtId="10" fontId="54" fillId="22" borderId="54" xfId="2" applyNumberFormat="1" applyFont="1" applyFill="1" applyBorder="1" applyAlignment="1">
      <alignment horizontal="center" vertical="center"/>
    </xf>
    <xf numFmtId="2" fontId="61" fillId="22" borderId="54" xfId="8" applyNumberFormat="1" applyFont="1" applyFill="1" applyBorder="1" applyAlignment="1">
      <alignment horizontal="center" vertical="center"/>
    </xf>
    <xf numFmtId="10" fontId="61" fillId="22" borderId="53" xfId="2" applyNumberFormat="1" applyFont="1" applyFill="1" applyBorder="1" applyAlignment="1">
      <alignment horizontal="center" vertical="center"/>
    </xf>
    <xf numFmtId="0" fontId="56" fillId="19" borderId="0" xfId="8" applyFont="1" applyFill="1"/>
    <xf numFmtId="165" fontId="43" fillId="0" borderId="27" xfId="8" applyNumberFormat="1" applyFont="1" applyBorder="1"/>
    <xf numFmtId="10" fontId="61" fillId="23" borderId="26" xfId="8" applyNumberFormat="1" applyFont="1" applyFill="1" applyBorder="1"/>
    <xf numFmtId="10" fontId="43" fillId="0" borderId="0" xfId="8" applyNumberFormat="1" applyFont="1"/>
    <xf numFmtId="0" fontId="43" fillId="0" borderId="0" xfId="8" applyFont="1"/>
    <xf numFmtId="165" fontId="43" fillId="0" borderId="30" xfId="8" applyNumberFormat="1" applyFont="1" applyBorder="1"/>
    <xf numFmtId="10" fontId="61" fillId="23" borderId="29" xfId="8" applyNumberFormat="1" applyFont="1" applyFill="1" applyBorder="1"/>
    <xf numFmtId="0" fontId="20" fillId="0" borderId="0" xfId="8"/>
    <xf numFmtId="10" fontId="20" fillId="0" borderId="0" xfId="8" applyNumberFormat="1"/>
    <xf numFmtId="10" fontId="61" fillId="22" borderId="49" xfId="2" applyNumberFormat="1" applyFont="1" applyFill="1" applyBorder="1" applyAlignment="1">
      <alignment horizontal="center" vertical="center"/>
    </xf>
    <xf numFmtId="10" fontId="20" fillId="0" borderId="33" xfId="8" applyNumberFormat="1" applyBorder="1"/>
    <xf numFmtId="10" fontId="48" fillId="0" borderId="33" xfId="8" applyNumberFormat="1" applyFont="1" applyBorder="1"/>
    <xf numFmtId="10" fontId="20" fillId="0" borderId="34" xfId="8" applyNumberFormat="1" applyBorder="1"/>
    <xf numFmtId="10" fontId="64" fillId="23" borderId="32" xfId="8" applyNumberFormat="1" applyFont="1" applyFill="1" applyBorder="1"/>
    <xf numFmtId="10" fontId="20" fillId="0" borderId="30" xfId="8" applyNumberFormat="1" applyBorder="1"/>
    <xf numFmtId="10" fontId="64" fillId="9" borderId="29" xfId="8" applyNumberFormat="1" applyFont="1" applyFill="1" applyBorder="1"/>
    <xf numFmtId="0" fontId="65" fillId="0" borderId="0" xfId="5" applyFont="1"/>
    <xf numFmtId="0" fontId="66" fillId="0" borderId="0" xfId="5" applyFont="1"/>
    <xf numFmtId="0" fontId="67" fillId="0" borderId="0" xfId="5" applyFont="1"/>
    <xf numFmtId="0" fontId="66" fillId="7" borderId="0" xfId="5" applyFont="1" applyFill="1"/>
    <xf numFmtId="0" fontId="15" fillId="24" borderId="45" xfId="5" applyFont="1" applyFill="1" applyBorder="1" applyAlignment="1">
      <alignment horizontal="center" vertical="center" wrapText="1"/>
    </xf>
    <xf numFmtId="0" fontId="14" fillId="0" borderId="0" xfId="5" applyFont="1"/>
    <xf numFmtId="0" fontId="48" fillId="0" borderId="0" xfId="5" applyFont="1"/>
    <xf numFmtId="0" fontId="70" fillId="0" borderId="0" xfId="5" applyFont="1"/>
    <xf numFmtId="0" fontId="62" fillId="0" borderId="0" xfId="5" applyFont="1"/>
    <xf numFmtId="0" fontId="71" fillId="0" borderId="0" xfId="5" applyFont="1"/>
    <xf numFmtId="0" fontId="45" fillId="0" borderId="0" xfId="5" applyFont="1"/>
    <xf numFmtId="0" fontId="62" fillId="0" borderId="45" xfId="5" applyFont="1" applyBorder="1" applyAlignment="1">
      <alignment horizontal="center"/>
    </xf>
    <xf numFmtId="0" fontId="62" fillId="0" borderId="77" xfId="5" applyFont="1" applyBorder="1" applyAlignment="1">
      <alignment horizontal="center"/>
    </xf>
    <xf numFmtId="0" fontId="62" fillId="0" borderId="78" xfId="5" applyFont="1" applyBorder="1"/>
    <xf numFmtId="0" fontId="62" fillId="0" borderId="79" xfId="5" applyFont="1" applyBorder="1"/>
    <xf numFmtId="1" fontId="46" fillId="7" borderId="63" xfId="5" applyNumberFormat="1" applyFont="1" applyFill="1" applyBorder="1"/>
    <xf numFmtId="0" fontId="45" fillId="0" borderId="0" xfId="5" quotePrefix="1" applyFont="1"/>
    <xf numFmtId="1" fontId="46" fillId="7" borderId="65" xfId="5" applyNumberFormat="1" applyFont="1" applyFill="1" applyBorder="1"/>
    <xf numFmtId="0" fontId="45" fillId="0" borderId="60" xfId="5" applyFont="1" applyBorder="1"/>
    <xf numFmtId="0" fontId="45" fillId="24" borderId="9" xfId="0" applyFont="1" applyFill="1" applyBorder="1"/>
    <xf numFmtId="0" fontId="45" fillId="0" borderId="0" xfId="0" applyFont="1"/>
    <xf numFmtId="0" fontId="62" fillId="0" borderId="45" xfId="0" applyFont="1" applyBorder="1"/>
    <xf numFmtId="0" fontId="65" fillId="0" borderId="0" xfId="0" applyFont="1"/>
    <xf numFmtId="0" fontId="62" fillId="0" borderId="0" xfId="0" applyFont="1"/>
    <xf numFmtId="0" fontId="62" fillId="0" borderId="55" xfId="5" applyFont="1" applyBorder="1"/>
    <xf numFmtId="0" fontId="62" fillId="0" borderId="57" xfId="5" applyFont="1" applyBorder="1"/>
    <xf numFmtId="0" fontId="62" fillId="0" borderId="45" xfId="5" applyFont="1" applyBorder="1"/>
    <xf numFmtId="0" fontId="74" fillId="0" borderId="0" xfId="5" applyFont="1"/>
    <xf numFmtId="0" fontId="14" fillId="23" borderId="0" xfId="5" applyFont="1" applyFill="1" applyAlignment="1">
      <alignment horizontal="center" vertical="center" wrapText="1"/>
    </xf>
    <xf numFmtId="0" fontId="62" fillId="25" borderId="0" xfId="5" applyFont="1" applyFill="1" applyAlignment="1">
      <alignment horizontal="center"/>
    </xf>
    <xf numFmtId="0" fontId="62" fillId="0" borderId="0" xfId="5" applyFont="1" applyAlignment="1">
      <alignment horizontal="center"/>
    </xf>
    <xf numFmtId="3" fontId="62" fillId="0" borderId="0" xfId="5" applyNumberFormat="1" applyFont="1"/>
    <xf numFmtId="0" fontId="62" fillId="26" borderId="45" xfId="0" applyFont="1" applyFill="1" applyBorder="1"/>
    <xf numFmtId="0" fontId="62" fillId="26" borderId="0" xfId="0" applyFont="1" applyFill="1"/>
    <xf numFmtId="0" fontId="15" fillId="0" borderId="0" xfId="5" applyFont="1" applyAlignment="1">
      <alignment wrapText="1"/>
    </xf>
    <xf numFmtId="0" fontId="72" fillId="0" borderId="0" xfId="5" applyFont="1"/>
    <xf numFmtId="0" fontId="75" fillId="0" borderId="0" xfId="5" applyFont="1"/>
    <xf numFmtId="0" fontId="65" fillId="27" borderId="0" xfId="5" applyFont="1" applyFill="1"/>
    <xf numFmtId="0" fontId="77" fillId="0" borderId="0" xfId="0" applyFont="1"/>
    <xf numFmtId="0" fontId="62" fillId="27" borderId="0" xfId="5" applyFont="1" applyFill="1"/>
    <xf numFmtId="0" fontId="72" fillId="0" borderId="48" xfId="0" applyFont="1" applyBorder="1" applyAlignment="1">
      <alignment horizontal="center" vertical="center" wrapText="1"/>
    </xf>
    <xf numFmtId="0" fontId="72" fillId="0" borderId="81" xfId="0" applyFont="1" applyBorder="1" applyAlignment="1">
      <alignment horizontal="center" vertical="center" wrapText="1"/>
    </xf>
    <xf numFmtId="0" fontId="78" fillId="0" borderId="48" xfId="0" applyFont="1" applyBorder="1" applyAlignment="1">
      <alignment horizontal="center" vertical="center" wrapText="1"/>
    </xf>
    <xf numFmtId="0" fontId="78" fillId="0" borderId="81" xfId="0" applyFont="1" applyBorder="1" applyAlignment="1">
      <alignment horizontal="center" vertical="center" wrapText="1"/>
    </xf>
    <xf numFmtId="1" fontId="65" fillId="0" borderId="62" xfId="5" applyNumberFormat="1" applyFont="1" applyBorder="1" applyAlignment="1">
      <alignment horizontal="center"/>
    </xf>
    <xf numFmtId="1" fontId="65" fillId="0" borderId="45" xfId="5" applyNumberFormat="1" applyFont="1" applyBorder="1" applyAlignment="1">
      <alignment horizontal="center"/>
    </xf>
    <xf numFmtId="0" fontId="72" fillId="0" borderId="45" xfId="0" applyFont="1" applyBorder="1" applyAlignment="1">
      <alignment horizontal="center"/>
    </xf>
    <xf numFmtId="0" fontId="28" fillId="0" borderId="45" xfId="0" applyFont="1" applyBorder="1" applyAlignment="1">
      <alignment horizontal="center"/>
    </xf>
    <xf numFmtId="0" fontId="65" fillId="0" borderId="57" xfId="5" applyFont="1" applyBorder="1"/>
    <xf numFmtId="0" fontId="65" fillId="0" borderId="55" xfId="5" applyFont="1" applyBorder="1"/>
    <xf numFmtId="0" fontId="65" fillId="0" borderId="60" xfId="5" applyFont="1" applyBorder="1"/>
    <xf numFmtId="0" fontId="65" fillId="24" borderId="9" xfId="0" applyFont="1" applyFill="1" applyBorder="1"/>
    <xf numFmtId="0" fontId="73" fillId="16" borderId="46" xfId="5" applyFont="1" applyFill="1" applyBorder="1" applyAlignment="1">
      <alignment horizontal="center" vertical="center" wrapText="1"/>
    </xf>
    <xf numFmtId="0" fontId="73" fillId="16" borderId="67" xfId="5" applyFont="1" applyFill="1" applyBorder="1" applyAlignment="1">
      <alignment horizontal="center" vertical="center" wrapText="1"/>
    </xf>
    <xf numFmtId="0" fontId="73" fillId="16" borderId="46" xfId="0" applyFont="1" applyFill="1" applyBorder="1" applyAlignment="1">
      <alignment horizontal="center" vertical="center" wrapText="1"/>
    </xf>
    <xf numFmtId="0" fontId="65" fillId="25" borderId="71" xfId="5" applyFont="1" applyFill="1" applyBorder="1"/>
    <xf numFmtId="0" fontId="65" fillId="25" borderId="54" xfId="5" applyFont="1" applyFill="1" applyBorder="1"/>
    <xf numFmtId="0" fontId="65" fillId="25" borderId="49" xfId="5" applyFont="1" applyFill="1" applyBorder="1"/>
    <xf numFmtId="0" fontId="46" fillId="0" borderId="0" xfId="5" applyFont="1"/>
    <xf numFmtId="1" fontId="65" fillId="0" borderId="65" xfId="5" applyNumberFormat="1" applyFont="1" applyBorder="1"/>
    <xf numFmtId="1" fontId="65" fillId="0" borderId="63" xfId="5" applyNumberFormat="1" applyFont="1" applyBorder="1"/>
    <xf numFmtId="0" fontId="28" fillId="0" borderId="0" xfId="10" applyFont="1"/>
    <xf numFmtId="0" fontId="77" fillId="0" borderId="0" xfId="10" applyFont="1"/>
    <xf numFmtId="0" fontId="80" fillId="0" borderId="0" xfId="10" applyFont="1"/>
    <xf numFmtId="0" fontId="81" fillId="0" borderId="2" xfId="10" applyFont="1" applyBorder="1" applyAlignment="1">
      <alignment horizontal="center" vertical="center" wrapText="1"/>
    </xf>
    <xf numFmtId="0" fontId="81" fillId="29" borderId="83" xfId="10" applyFont="1" applyFill="1" applyBorder="1" applyAlignment="1">
      <alignment horizontal="center" vertical="center" wrapText="1"/>
    </xf>
    <xf numFmtId="0" fontId="28" fillId="0" borderId="2" xfId="10" applyFont="1" applyBorder="1" applyAlignment="1">
      <alignment horizontal="center" vertical="center" wrapText="1"/>
    </xf>
    <xf numFmtId="0" fontId="28" fillId="0" borderId="2" xfId="10" applyFont="1" applyBorder="1"/>
    <xf numFmtId="0" fontId="81" fillId="29" borderId="90" xfId="10" applyFont="1" applyFill="1" applyBorder="1" applyAlignment="1">
      <alignment horizontal="center" vertical="center" wrapText="1"/>
    </xf>
    <xf numFmtId="0" fontId="81" fillId="0" borderId="7" xfId="10" applyFont="1" applyBorder="1" applyAlignment="1">
      <alignment horizontal="center" vertical="center" wrapText="1"/>
    </xf>
    <xf numFmtId="0" fontId="81" fillId="29" borderId="92" xfId="10" applyFont="1" applyFill="1" applyBorder="1" applyAlignment="1">
      <alignment horizontal="center" vertical="center" wrapText="1"/>
    </xf>
    <xf numFmtId="0" fontId="81" fillId="0" borderId="0" xfId="10" applyFont="1" applyAlignment="1">
      <alignment horizontal="center" vertical="center" wrapText="1"/>
    </xf>
    <xf numFmtId="0" fontId="81" fillId="29" borderId="93" xfId="10" applyFont="1" applyFill="1" applyBorder="1" applyAlignment="1">
      <alignment horizontal="center" vertical="center" wrapText="1"/>
    </xf>
    <xf numFmtId="0" fontId="81" fillId="29" borderId="94" xfId="10" applyFont="1" applyFill="1" applyBorder="1" applyAlignment="1">
      <alignment horizontal="center" vertical="center" wrapText="1"/>
    </xf>
    <xf numFmtId="0" fontId="81" fillId="29" borderId="95" xfId="10" applyFont="1" applyFill="1" applyBorder="1" applyAlignment="1">
      <alignment horizontal="center" vertical="center" wrapText="1"/>
    </xf>
    <xf numFmtId="3" fontId="28" fillId="0" borderId="80" xfId="10" applyNumberFormat="1" applyFont="1" applyBorder="1"/>
    <xf numFmtId="0" fontId="28" fillId="0" borderId="52" xfId="10" applyFont="1" applyBorder="1"/>
    <xf numFmtId="3" fontId="82" fillId="0" borderId="80" xfId="10" applyNumberFormat="1" applyFont="1" applyBorder="1"/>
    <xf numFmtId="3" fontId="28" fillId="0" borderId="51" xfId="10" applyNumberFormat="1" applyFont="1" applyBorder="1"/>
    <xf numFmtId="0" fontId="6" fillId="29" borderId="96" xfId="10" applyFont="1" applyFill="1" applyBorder="1" applyAlignment="1">
      <alignment horizontal="left" vertical="center" wrapText="1"/>
    </xf>
    <xf numFmtId="3" fontId="28" fillId="0" borderId="19" xfId="10" applyNumberFormat="1" applyFont="1" applyBorder="1"/>
    <xf numFmtId="3" fontId="28" fillId="0" borderId="57" xfId="10" applyNumberFormat="1" applyFont="1" applyBorder="1"/>
    <xf numFmtId="0" fontId="6" fillId="29" borderId="97" xfId="10" applyFont="1" applyFill="1" applyBorder="1" applyAlignment="1">
      <alignment horizontal="left" vertical="center" wrapText="1"/>
    </xf>
    <xf numFmtId="0" fontId="28" fillId="0" borderId="11" xfId="10" applyFont="1" applyBorder="1"/>
    <xf numFmtId="3" fontId="28" fillId="0" borderId="98" xfId="10" applyNumberFormat="1" applyFont="1" applyBorder="1"/>
    <xf numFmtId="0" fontId="0" fillId="20" borderId="0" xfId="0" applyFill="1"/>
    <xf numFmtId="2" fontId="0" fillId="0" borderId="0" xfId="0" applyNumberFormat="1"/>
    <xf numFmtId="166" fontId="0" fillId="0" borderId="0" xfId="0" applyNumberFormat="1"/>
    <xf numFmtId="0" fontId="61" fillId="30" borderId="9" xfId="0" applyFont="1" applyFill="1" applyBorder="1" applyAlignment="1">
      <alignment horizontal="center" vertical="center" wrapText="1"/>
    </xf>
    <xf numFmtId="0" fontId="61" fillId="30" borderId="12" xfId="0" applyFont="1" applyFill="1" applyBorder="1" applyAlignment="1">
      <alignment horizontal="center" vertical="center" wrapText="1"/>
    </xf>
    <xf numFmtId="0" fontId="28" fillId="20" borderId="0" xfId="0" applyFont="1" applyFill="1"/>
    <xf numFmtId="166" fontId="28" fillId="0" borderId="0" xfId="0" applyNumberFormat="1" applyFont="1"/>
    <xf numFmtId="0" fontId="84" fillId="0" borderId="0" xfId="0" applyFont="1"/>
    <xf numFmtId="0" fontId="28" fillId="0" borderId="44" xfId="0" applyFont="1" applyBorder="1" applyAlignment="1">
      <alignment horizontal="center" vertical="center" wrapText="1"/>
    </xf>
    <xf numFmtId="0" fontId="28" fillId="0" borderId="8" xfId="0" applyFont="1" applyBorder="1" applyAlignment="1">
      <alignment vertical="center" wrapText="1"/>
    </xf>
    <xf numFmtId="9" fontId="28" fillId="0" borderId="9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5" xfId="0" applyFont="1" applyBorder="1" applyAlignment="1">
      <alignment vertical="center" wrapText="1"/>
    </xf>
    <xf numFmtId="0" fontId="28" fillId="0" borderId="44" xfId="0" applyFont="1" applyBorder="1" applyAlignment="1">
      <alignment horizontal="center" vertical="center"/>
    </xf>
    <xf numFmtId="9" fontId="61" fillId="0" borderId="12" xfId="0" applyNumberFormat="1" applyFont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0" fontId="28" fillId="31" borderId="9" xfId="0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32" borderId="8" xfId="0" applyFont="1" applyFill="1" applyBorder="1" applyAlignment="1">
      <alignment vertical="center" wrapText="1"/>
    </xf>
    <xf numFmtId="9" fontId="28" fillId="0" borderId="8" xfId="0" applyNumberFormat="1" applyFont="1" applyBorder="1" applyAlignment="1">
      <alignment horizontal="center" vertical="center" wrapText="1"/>
    </xf>
    <xf numFmtId="1" fontId="28" fillId="0" borderId="8" xfId="0" applyNumberFormat="1" applyFont="1" applyBorder="1" applyAlignment="1">
      <alignment horizontal="center" vertical="center" wrapText="1"/>
    </xf>
    <xf numFmtId="0" fontId="28" fillId="0" borderId="101" xfId="0" applyFont="1" applyBorder="1" applyAlignment="1">
      <alignment vertical="center" wrapText="1"/>
    </xf>
    <xf numFmtId="0" fontId="28" fillId="0" borderId="102" xfId="0" applyFont="1" applyBorder="1" applyAlignment="1">
      <alignment vertical="center" wrapText="1"/>
    </xf>
    <xf numFmtId="9" fontId="28" fillId="0" borderId="102" xfId="0" applyNumberFormat="1" applyFont="1" applyBorder="1" applyAlignment="1">
      <alignment horizontal="center" vertical="center" wrapText="1"/>
    </xf>
    <xf numFmtId="0" fontId="28" fillId="0" borderId="102" xfId="0" applyFont="1" applyBorder="1" applyAlignment="1">
      <alignment horizontal="center" vertical="center" wrapText="1"/>
    </xf>
    <xf numFmtId="0" fontId="28" fillId="32" borderId="102" xfId="0" applyFont="1" applyFill="1" applyBorder="1" applyAlignment="1">
      <alignment horizontal="center" vertical="center" wrapText="1"/>
    </xf>
    <xf numFmtId="9" fontId="61" fillId="0" borderId="102" xfId="0" applyNumberFormat="1" applyFont="1" applyBorder="1" applyAlignment="1">
      <alignment horizontal="center" vertical="center" wrapText="1"/>
    </xf>
    <xf numFmtId="0" fontId="28" fillId="22" borderId="0" xfId="0" applyFont="1" applyFill="1"/>
    <xf numFmtId="0" fontId="28" fillId="7" borderId="0" xfId="0" applyFont="1" applyFill="1" applyAlignment="1">
      <alignment horizontal="center" vertical="center" wrapText="1"/>
    </xf>
    <xf numFmtId="0" fontId="28" fillId="7" borderId="0" xfId="0" applyFont="1" applyFill="1"/>
    <xf numFmtId="0" fontId="28" fillId="22" borderId="0" xfId="0" applyFont="1" applyFill="1" applyAlignment="1">
      <alignment horizontal="center" vertical="center" wrapText="1"/>
    </xf>
    <xf numFmtId="9" fontId="61" fillId="0" borderId="8" xfId="0" applyNumberFormat="1" applyFont="1" applyBorder="1" applyAlignment="1">
      <alignment horizontal="center" vertical="center" wrapText="1"/>
    </xf>
    <xf numFmtId="0" fontId="28" fillId="0" borderId="45" xfId="0" applyFont="1" applyBorder="1"/>
    <xf numFmtId="0" fontId="86" fillId="0" borderId="45" xfId="0" applyFont="1" applyBorder="1"/>
    <xf numFmtId="0" fontId="28" fillId="33" borderId="45" xfId="0" applyFont="1" applyFill="1" applyBorder="1"/>
    <xf numFmtId="2" fontId="28" fillId="7" borderId="0" xfId="0" applyNumberFormat="1" applyFont="1" applyFill="1"/>
    <xf numFmtId="166" fontId="28" fillId="7" borderId="0" xfId="0" applyNumberFormat="1" applyFont="1" applyFill="1"/>
    <xf numFmtId="2" fontId="82" fillId="7" borderId="0" xfId="0" applyNumberFormat="1" applyFont="1" applyFill="1"/>
    <xf numFmtId="2" fontId="28" fillId="23" borderId="0" xfId="0" applyNumberFormat="1" applyFont="1" applyFill="1"/>
    <xf numFmtId="2" fontId="87" fillId="7" borderId="0" xfId="0" applyNumberFormat="1" applyFont="1" applyFill="1"/>
    <xf numFmtId="2" fontId="88" fillId="7" borderId="0" xfId="0" applyNumberFormat="1" applyFont="1" applyFill="1"/>
    <xf numFmtId="0" fontId="0" fillId="7" borderId="0" xfId="0" applyFill="1"/>
    <xf numFmtId="0" fontId="89" fillId="0" borderId="0" xfId="0" applyFont="1"/>
    <xf numFmtId="0" fontId="90" fillId="0" borderId="0" xfId="0" applyFont="1" applyAlignment="1">
      <alignment horizontal="left"/>
    </xf>
    <xf numFmtId="0" fontId="0" fillId="0" borderId="0" xfId="0" applyAlignment="1">
      <alignment horizontal="left"/>
    </xf>
    <xf numFmtId="0" fontId="91" fillId="34" borderId="0" xfId="11" applyFont="1" applyFill="1" applyAlignment="1">
      <alignment vertical="center"/>
    </xf>
    <xf numFmtId="0" fontId="92" fillId="34" borderId="0" xfId="12" applyFont="1" applyFill="1"/>
    <xf numFmtId="0" fontId="93" fillId="34" borderId="0" xfId="11" applyFont="1" applyFill="1" applyAlignment="1">
      <alignment horizontal="center"/>
    </xf>
    <xf numFmtId="0" fontId="94" fillId="34" borderId="0" xfId="12" applyFont="1" applyFill="1"/>
    <xf numFmtId="0" fontId="95" fillId="34" borderId="0" xfId="11" applyFont="1" applyFill="1" applyAlignment="1">
      <alignment horizontal="center"/>
    </xf>
    <xf numFmtId="0" fontId="94" fillId="34" borderId="0" xfId="12" applyFont="1" applyFill="1" applyAlignment="1">
      <alignment horizontal="center"/>
    </xf>
    <xf numFmtId="0" fontId="94" fillId="0" borderId="0" xfId="12" applyFont="1"/>
    <xf numFmtId="0" fontId="93" fillId="34" borderId="45" xfId="12" applyFont="1" applyFill="1" applyBorder="1" applyAlignment="1">
      <alignment horizontal="center" vertical="center"/>
    </xf>
    <xf numFmtId="0" fontId="93" fillId="34" borderId="45" xfId="12" applyFont="1" applyFill="1" applyBorder="1" applyAlignment="1">
      <alignment horizontal="center" vertical="center" wrapText="1"/>
    </xf>
    <xf numFmtId="0" fontId="91" fillId="34" borderId="45" xfId="12" applyFont="1" applyFill="1" applyBorder="1" applyAlignment="1">
      <alignment horizontal="center" vertical="center" wrapText="1"/>
    </xf>
    <xf numFmtId="0" fontId="97" fillId="0" borderId="45" xfId="11" applyFont="1" applyBorder="1" applyAlignment="1">
      <alignment horizontal="center" vertical="center" wrapText="1"/>
    </xf>
    <xf numFmtId="0" fontId="96" fillId="19" borderId="45" xfId="11" applyFont="1" applyFill="1" applyBorder="1" applyAlignment="1">
      <alignment horizontal="center" vertical="center" textRotation="255" wrapText="1"/>
    </xf>
    <xf numFmtId="0" fontId="98" fillId="23" borderId="45" xfId="11" applyFont="1" applyFill="1" applyBorder="1" applyAlignment="1">
      <alignment horizontal="center" vertical="center" wrapText="1"/>
    </xf>
    <xf numFmtId="0" fontId="94" fillId="19" borderId="45" xfId="11" applyFont="1" applyFill="1" applyBorder="1" applyAlignment="1">
      <alignment horizontal="center" vertical="center" wrapText="1"/>
    </xf>
    <xf numFmtId="0" fontId="100" fillId="23" borderId="45" xfId="11" applyFont="1" applyFill="1" applyBorder="1" applyAlignment="1">
      <alignment horizontal="center" vertical="center" wrapText="1"/>
    </xf>
    <xf numFmtId="0" fontId="23" fillId="9" borderId="45" xfId="11" applyFont="1" applyFill="1" applyBorder="1" applyAlignment="1">
      <alignment horizontal="center" vertical="center" wrapText="1"/>
    </xf>
    <xf numFmtId="0" fontId="101" fillId="19" borderId="45" xfId="11" applyFont="1" applyFill="1" applyBorder="1" applyAlignment="1">
      <alignment horizontal="center" vertical="center" wrapText="1"/>
    </xf>
    <xf numFmtId="0" fontId="98" fillId="9" borderId="45" xfId="11" applyFont="1" applyFill="1" applyBorder="1" applyAlignment="1">
      <alignment horizontal="center" vertical="center" wrapText="1"/>
    </xf>
    <xf numFmtId="0" fontId="23" fillId="19" borderId="45" xfId="11" applyFont="1" applyFill="1" applyBorder="1" applyAlignment="1">
      <alignment horizontal="center" vertical="center" wrapText="1"/>
    </xf>
    <xf numFmtId="0" fontId="7" fillId="19" borderId="45" xfId="11" applyFont="1" applyFill="1" applyBorder="1" applyAlignment="1">
      <alignment horizontal="center" vertical="center" wrapText="1"/>
    </xf>
    <xf numFmtId="0" fontId="7" fillId="7" borderId="45" xfId="11" applyFont="1" applyFill="1" applyBorder="1" applyAlignment="1">
      <alignment horizontal="center" vertical="center" wrapText="1"/>
    </xf>
    <xf numFmtId="0" fontId="92" fillId="19" borderId="45" xfId="11" applyFont="1" applyFill="1" applyBorder="1" applyAlignment="1">
      <alignment horizontal="center" vertical="center" wrapText="1"/>
    </xf>
    <xf numFmtId="0" fontId="101" fillId="23" borderId="45" xfId="11" applyFont="1" applyFill="1" applyBorder="1" applyAlignment="1">
      <alignment horizontal="center" vertical="center" wrapText="1"/>
    </xf>
    <xf numFmtId="0" fontId="101" fillId="9" borderId="45" xfId="11" applyFont="1" applyFill="1" applyBorder="1" applyAlignment="1">
      <alignment horizontal="center" vertical="center" wrapText="1"/>
    </xf>
    <xf numFmtId="0" fontId="94" fillId="9" borderId="45" xfId="11" applyFont="1" applyFill="1" applyBorder="1" applyAlignment="1">
      <alignment horizontal="center" vertical="center" wrapText="1"/>
    </xf>
    <xf numFmtId="0" fontId="95" fillId="9" borderId="45" xfId="11" applyFont="1" applyFill="1" applyBorder="1" applyAlignment="1">
      <alignment horizontal="center" vertical="center" wrapText="1"/>
    </xf>
    <xf numFmtId="0" fontId="102" fillId="19" borderId="45" xfId="11" applyFont="1" applyFill="1" applyBorder="1" applyAlignment="1">
      <alignment horizontal="center" vertical="center" wrapText="1"/>
    </xf>
    <xf numFmtId="0" fontId="26" fillId="19" borderId="45" xfId="11" applyFont="1" applyFill="1" applyBorder="1" applyAlignment="1">
      <alignment horizontal="center" vertical="center" wrapText="1"/>
    </xf>
    <xf numFmtId="0" fontId="91" fillId="19" borderId="45" xfId="11" applyFont="1" applyFill="1" applyBorder="1" applyAlignment="1">
      <alignment horizontal="center" vertical="center" wrapText="1"/>
    </xf>
    <xf numFmtId="0" fontId="54" fillId="9" borderId="45" xfId="11" applyFont="1" applyFill="1" applyBorder="1" applyAlignment="1">
      <alignment horizontal="center" vertical="center" wrapText="1"/>
    </xf>
    <xf numFmtId="0" fontId="103" fillId="19" borderId="45" xfId="11" applyFont="1" applyFill="1" applyBorder="1" applyAlignment="1">
      <alignment horizontal="center" vertical="center" wrapText="1"/>
    </xf>
    <xf numFmtId="0" fontId="94" fillId="0" borderId="0" xfId="11" applyFont="1" applyAlignment="1">
      <alignment horizontal="center" vertical="center" wrapText="1"/>
    </xf>
    <xf numFmtId="0" fontId="95" fillId="19" borderId="0" xfId="11" applyFont="1" applyFill="1" applyAlignment="1">
      <alignment horizontal="center" vertical="center" textRotation="255" wrapText="1"/>
    </xf>
    <xf numFmtId="0" fontId="94" fillId="19" borderId="0" xfId="11" applyFont="1" applyFill="1" applyAlignment="1">
      <alignment horizontal="center" vertical="center" wrapText="1"/>
    </xf>
    <xf numFmtId="0" fontId="7" fillId="19" borderId="0" xfId="11" applyFont="1" applyFill="1" applyAlignment="1">
      <alignment horizontal="center" vertical="center" wrapText="1"/>
    </xf>
    <xf numFmtId="0" fontId="92" fillId="34" borderId="0" xfId="11" applyFont="1" applyFill="1"/>
    <xf numFmtId="0" fontId="105" fillId="34" borderId="0" xfId="11" applyFont="1" applyFill="1"/>
    <xf numFmtId="0" fontId="93" fillId="34" borderId="0" xfId="11" applyFont="1" applyFill="1"/>
    <xf numFmtId="0" fontId="106" fillId="34" borderId="0" xfId="11" applyFont="1" applyFill="1"/>
    <xf numFmtId="0" fontId="26" fillId="34" borderId="0" xfId="11" applyFont="1" applyFill="1"/>
    <xf numFmtId="0" fontId="107" fillId="34" borderId="0" xfId="11" applyFont="1" applyFill="1"/>
    <xf numFmtId="0" fontId="94" fillId="34" borderId="0" xfId="11" applyFont="1" applyFill="1" applyAlignment="1">
      <alignment vertical="center"/>
    </xf>
    <xf numFmtId="0" fontId="95" fillId="34" borderId="0" xfId="11" applyFont="1" applyFill="1"/>
    <xf numFmtId="0" fontId="108" fillId="4" borderId="106" xfId="11" applyFont="1" applyFill="1" applyBorder="1" applyAlignment="1">
      <alignment horizontal="center" vertical="center" wrapText="1"/>
    </xf>
    <xf numFmtId="1" fontId="109" fillId="0" borderId="29" xfId="11" applyNumberFormat="1" applyFont="1" applyBorder="1" applyAlignment="1">
      <alignment horizontal="center"/>
    </xf>
    <xf numFmtId="1" fontId="109" fillId="0" borderId="32" xfId="11" applyNumberFormat="1" applyFont="1" applyBorder="1" applyAlignment="1">
      <alignment horizontal="center"/>
    </xf>
    <xf numFmtId="0" fontId="108" fillId="0" borderId="9" xfId="11" applyFont="1" applyBorder="1" applyAlignment="1">
      <alignment horizontal="center" vertical="center" wrapText="1"/>
    </xf>
    <xf numFmtId="0" fontId="29" fillId="10" borderId="45" xfId="0" applyFont="1" applyFill="1" applyBorder="1" applyAlignment="1">
      <alignment vertical="center"/>
    </xf>
    <xf numFmtId="165" fontId="33" fillId="11" borderId="45" xfId="1" applyNumberFormat="1" applyFont="1" applyFill="1" applyBorder="1" applyAlignment="1">
      <alignment horizontal="center" vertical="center"/>
    </xf>
    <xf numFmtId="165" fontId="34" fillId="11" borderId="45" xfId="1" applyNumberFormat="1" applyFont="1" applyFill="1" applyBorder="1" applyAlignment="1">
      <alignment horizontal="center" vertical="center"/>
    </xf>
    <xf numFmtId="1" fontId="34" fillId="11" borderId="45" xfId="2" applyNumberFormat="1" applyFont="1" applyFill="1" applyBorder="1" applyAlignment="1">
      <alignment horizontal="center" vertical="center"/>
    </xf>
    <xf numFmtId="3" fontId="21" fillId="4" borderId="17" xfId="3" applyNumberFormat="1" applyFont="1" applyFill="1" applyBorder="1" applyAlignment="1" applyProtection="1">
      <alignment horizontal="center"/>
    </xf>
    <xf numFmtId="0" fontId="19" fillId="3" borderId="26" xfId="2" applyFont="1" applyFill="1" applyBorder="1"/>
    <xf numFmtId="0" fontId="19" fillId="3" borderId="29" xfId="2" applyFont="1" applyFill="1" applyBorder="1"/>
    <xf numFmtId="0" fontId="19" fillId="3" borderId="35" xfId="2" applyFont="1" applyFill="1" applyBorder="1"/>
    <xf numFmtId="1" fontId="62" fillId="0" borderId="0" xfId="5" applyNumberFormat="1" applyFont="1"/>
    <xf numFmtId="0" fontId="62" fillId="7" borderId="45" xfId="5" applyFont="1" applyFill="1" applyBorder="1" applyAlignment="1">
      <alignment horizontal="center"/>
    </xf>
    <xf numFmtId="1" fontId="28" fillId="0" borderId="0" xfId="0" applyNumberFormat="1" applyFont="1"/>
    <xf numFmtId="0" fontId="16" fillId="7" borderId="1" xfId="2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7" fillId="4" borderId="42" xfId="2" applyFont="1" applyFill="1" applyBorder="1" applyAlignment="1">
      <alignment horizontal="center" vertical="center" wrapText="1"/>
    </xf>
    <xf numFmtId="10" fontId="5" fillId="3" borderId="0" xfId="2" applyNumberFormat="1" applyFill="1" applyAlignment="1">
      <alignment horizontal="center" vertical="center" wrapText="1"/>
    </xf>
    <xf numFmtId="0" fontId="15" fillId="6" borderId="5" xfId="2" applyFont="1" applyFill="1" applyBorder="1" applyAlignment="1">
      <alignment horizontal="center" vertical="center" wrapText="1"/>
    </xf>
    <xf numFmtId="9" fontId="18" fillId="5" borderId="1" xfId="2" applyNumberFormat="1" applyFont="1" applyFill="1" applyBorder="1" applyAlignment="1">
      <alignment horizontal="center" vertical="center" wrapText="1"/>
    </xf>
    <xf numFmtId="0" fontId="15" fillId="6" borderId="42" xfId="2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39" fillId="15" borderId="55" xfId="2" applyFont="1" applyFill="1" applyBorder="1" applyAlignment="1">
      <alignment horizontal="center" vertical="center" wrapText="1"/>
    </xf>
    <xf numFmtId="0" fontId="39" fillId="15" borderId="56" xfId="2" applyFont="1" applyFill="1" applyBorder="1" applyAlignment="1">
      <alignment horizontal="center" vertical="center" wrapText="1"/>
    </xf>
    <xf numFmtId="0" fontId="39" fillId="15" borderId="0" xfId="2" applyFont="1" applyFill="1" applyAlignment="1">
      <alignment horizontal="center" vertical="center" wrapText="1"/>
    </xf>
    <xf numFmtId="0" fontId="40" fillId="0" borderId="0" xfId="2" applyFont="1"/>
    <xf numFmtId="0" fontId="108" fillId="4" borderId="107" xfId="11" applyFont="1" applyFill="1" applyBorder="1" applyAlignment="1">
      <alignment horizontal="center" vertical="center" wrapText="1"/>
    </xf>
    <xf numFmtId="0" fontId="108" fillId="0" borderId="44" xfId="11" applyFont="1" applyBorder="1" applyAlignment="1">
      <alignment horizontal="center" vertical="center" wrapText="1"/>
    </xf>
    <xf numFmtId="0" fontId="16" fillId="7" borderId="1" xfId="6" applyFont="1" applyFill="1" applyBorder="1" applyAlignment="1">
      <alignment horizontal="center" vertical="center" wrapText="1"/>
    </xf>
    <xf numFmtId="0" fontId="17" fillId="4" borderId="1" xfId="7" applyFont="1" applyFill="1" applyBorder="1" applyAlignment="1">
      <alignment horizontal="center" vertical="center" wrapText="1"/>
    </xf>
    <xf numFmtId="0" fontId="17" fillId="4" borderId="42" xfId="7" applyFont="1" applyFill="1" applyBorder="1" applyAlignment="1">
      <alignment horizontal="center" vertical="center" wrapText="1"/>
    </xf>
    <xf numFmtId="10" fontId="20" fillId="3" borderId="0" xfId="6" applyNumberFormat="1" applyFill="1" applyAlignment="1">
      <alignment horizontal="center" vertical="center" wrapText="1"/>
    </xf>
    <xf numFmtId="9" fontId="18" fillId="5" borderId="1" xfId="6" applyNumberFormat="1" applyFont="1" applyFill="1" applyBorder="1" applyAlignment="1">
      <alignment horizontal="center" vertical="center" wrapText="1"/>
    </xf>
    <xf numFmtId="0" fontId="15" fillId="6" borderId="5" xfId="6" applyFont="1" applyFill="1" applyBorder="1" applyAlignment="1">
      <alignment horizontal="center" vertical="center" wrapText="1"/>
    </xf>
    <xf numFmtId="1" fontId="48" fillId="0" borderId="56" xfId="6" applyNumberFormat="1" applyFont="1" applyBorder="1" applyAlignment="1">
      <alignment horizontal="center" vertical="center" wrapText="1"/>
    </xf>
    <xf numFmtId="1" fontId="17" fillId="3" borderId="0" xfId="7" applyNumberFormat="1" applyFont="1" applyFill="1" applyAlignment="1">
      <alignment horizontal="center" vertical="center" wrapText="1"/>
    </xf>
    <xf numFmtId="0" fontId="20" fillId="18" borderId="0" xfId="6" applyFill="1" applyAlignment="1">
      <alignment horizontal="center" vertical="center" wrapText="1"/>
    </xf>
    <xf numFmtId="0" fontId="20" fillId="0" borderId="0" xfId="6" applyAlignment="1">
      <alignment horizontal="center" vertical="center" wrapText="1"/>
    </xf>
    <xf numFmtId="3" fontId="21" fillId="4" borderId="21" xfId="3" applyNumberFormat="1" applyFont="1" applyFill="1" applyBorder="1" applyAlignment="1" applyProtection="1"/>
    <xf numFmtId="0" fontId="108" fillId="4" borderId="10" xfId="11" applyFont="1" applyFill="1" applyBorder="1" applyAlignment="1">
      <alignment horizontal="center" vertical="center" wrapText="1"/>
    </xf>
    <xf numFmtId="0" fontId="108" fillId="4" borderId="110" xfId="11" applyFont="1" applyFill="1" applyBorder="1" applyAlignment="1">
      <alignment horizontal="center" vertical="center" wrapText="1"/>
    </xf>
    <xf numFmtId="0" fontId="108" fillId="4" borderId="111" xfId="11" applyFont="1" applyFill="1" applyBorder="1" applyAlignment="1">
      <alignment horizontal="center" vertical="center" wrapText="1"/>
    </xf>
    <xf numFmtId="0" fontId="62" fillId="7" borderId="77" xfId="5" applyFont="1" applyFill="1" applyBorder="1" applyAlignment="1">
      <alignment horizontal="center"/>
    </xf>
    <xf numFmtId="0" fontId="62" fillId="7" borderId="79" xfId="5" applyFont="1" applyFill="1" applyBorder="1"/>
    <xf numFmtId="0" fontId="62" fillId="7" borderId="45" xfId="0" applyFont="1" applyFill="1" applyBorder="1"/>
    <xf numFmtId="0" fontId="62" fillId="7" borderId="0" xfId="5" applyFont="1" applyFill="1"/>
    <xf numFmtId="0" fontId="70" fillId="7" borderId="0" xfId="5" applyFont="1" applyFill="1"/>
    <xf numFmtId="0" fontId="74" fillId="7" borderId="0" xfId="5" applyFont="1" applyFill="1"/>
    <xf numFmtId="3" fontId="21" fillId="34" borderId="17" xfId="3" applyNumberFormat="1" applyFont="1" applyFill="1" applyBorder="1" applyProtection="1"/>
    <xf numFmtId="0" fontId="15" fillId="6" borderId="12" xfId="2" applyFont="1" applyFill="1" applyBorder="1" applyAlignment="1">
      <alignment horizontal="center" vertical="center" wrapText="1"/>
    </xf>
    <xf numFmtId="0" fontId="108" fillId="0" borderId="42" xfId="11" applyFont="1" applyBorder="1" applyAlignment="1">
      <alignment horizontal="center" vertical="center" wrapText="1"/>
    </xf>
    <xf numFmtId="3" fontId="21" fillId="0" borderId="26" xfId="4" applyNumberFormat="1" applyFont="1" applyFill="1" applyBorder="1" applyProtection="1">
      <protection locked="0"/>
    </xf>
    <xf numFmtId="3" fontId="21" fillId="0" borderId="29" xfId="4" applyNumberFormat="1" applyFont="1" applyFill="1" applyBorder="1" applyProtection="1">
      <protection locked="0"/>
    </xf>
    <xf numFmtId="10" fontId="21" fillId="3" borderId="11" xfId="4" applyNumberFormat="1" applyFont="1" applyFill="1" applyBorder="1" applyProtection="1">
      <protection locked="0"/>
    </xf>
    <xf numFmtId="3" fontId="21" fillId="0" borderId="21" xfId="3" applyNumberFormat="1" applyFont="1" applyFill="1" applyBorder="1" applyProtection="1"/>
    <xf numFmtId="3" fontId="21" fillId="0" borderId="17" xfId="3" applyNumberFormat="1" applyFont="1" applyFill="1" applyBorder="1" applyProtection="1"/>
    <xf numFmtId="0" fontId="5" fillId="0" borderId="10" xfId="2" applyBorder="1"/>
    <xf numFmtId="10" fontId="5" fillId="3" borderId="11" xfId="2" applyNumberFormat="1" applyFill="1" applyBorder="1" applyAlignment="1">
      <alignment horizontal="center" vertical="center" wrapText="1"/>
    </xf>
    <xf numFmtId="9" fontId="18" fillId="5" borderId="10" xfId="2" applyNumberFormat="1" applyFont="1" applyFill="1" applyBorder="1" applyAlignment="1">
      <alignment horizontal="center" vertical="center" wrapText="1"/>
    </xf>
    <xf numFmtId="3" fontId="21" fillId="0" borderId="15" xfId="3" applyNumberFormat="1" applyFont="1" applyFill="1" applyBorder="1" applyProtection="1"/>
    <xf numFmtId="0" fontId="16" fillId="12" borderId="45" xfId="0" applyFont="1" applyFill="1" applyBorder="1" applyAlignment="1">
      <alignment horizontal="center" vertical="top" wrapText="1"/>
    </xf>
    <xf numFmtId="3" fontId="6" fillId="13" borderId="56" xfId="2" applyNumberFormat="1" applyFont="1" applyFill="1" applyBorder="1" applyAlignment="1">
      <alignment horizontal="center"/>
    </xf>
    <xf numFmtId="1" fontId="6" fillId="13" borderId="56" xfId="2" applyNumberFormat="1" applyFont="1" applyFill="1" applyBorder="1" applyAlignment="1">
      <alignment horizontal="center"/>
    </xf>
    <xf numFmtId="0" fontId="15" fillId="6" borderId="0" xfId="2" applyFont="1" applyFill="1" applyAlignment="1">
      <alignment horizontal="center" vertical="center" wrapText="1"/>
    </xf>
    <xf numFmtId="10" fontId="33" fillId="11" borderId="46" xfId="1" applyNumberFormat="1" applyFont="1" applyFill="1" applyBorder="1" applyAlignment="1">
      <alignment horizontal="center"/>
    </xf>
    <xf numFmtId="10" fontId="33" fillId="11" borderId="46" xfId="1" applyNumberFormat="1" applyFont="1" applyFill="1" applyBorder="1" applyAlignment="1">
      <alignment horizontal="center" vertical="center" wrapText="1"/>
    </xf>
    <xf numFmtId="165" fontId="34" fillId="11" borderId="46" xfId="1" applyNumberFormat="1" applyFont="1" applyFill="1" applyBorder="1" applyAlignment="1">
      <alignment horizontal="center" vertical="center" wrapText="1"/>
    </xf>
    <xf numFmtId="0" fontId="0" fillId="14" borderId="45" xfId="0" applyFill="1" applyBorder="1"/>
    <xf numFmtId="9" fontId="18" fillId="5" borderId="9" xfId="2" applyNumberFormat="1" applyFont="1" applyFill="1" applyBorder="1" applyAlignment="1">
      <alignment horizontal="center" vertical="center" wrapText="1"/>
    </xf>
    <xf numFmtId="166" fontId="31" fillId="11" borderId="58" xfId="2" applyNumberFormat="1" applyFont="1" applyFill="1" applyBorder="1" applyAlignment="1">
      <alignment horizontal="center" vertical="center" wrapText="1"/>
    </xf>
    <xf numFmtId="10" fontId="33" fillId="11" borderId="60" xfId="1" applyNumberFormat="1" applyFont="1" applyFill="1" applyBorder="1" applyAlignment="1">
      <alignment horizontal="center" vertical="center" wrapText="1"/>
    </xf>
    <xf numFmtId="0" fontId="32" fillId="11" borderId="67" xfId="2" applyFont="1" applyFill="1" applyBorder="1" applyAlignment="1">
      <alignment horizontal="center" vertical="center" wrapText="1"/>
    </xf>
    <xf numFmtId="165" fontId="34" fillId="11" borderId="76" xfId="1" applyNumberFormat="1" applyFont="1" applyFill="1" applyBorder="1" applyAlignment="1">
      <alignment horizontal="center" vertical="center" wrapText="1"/>
    </xf>
    <xf numFmtId="166" fontId="31" fillId="13" borderId="45" xfId="2" applyNumberFormat="1" applyFont="1" applyFill="1" applyBorder="1" applyAlignment="1">
      <alignment horizontal="center" vertical="center" wrapText="1"/>
    </xf>
    <xf numFmtId="3" fontId="6" fillId="13" borderId="45" xfId="2" applyNumberFormat="1" applyFont="1" applyFill="1" applyBorder="1" applyAlignment="1">
      <alignment horizontal="center"/>
    </xf>
    <xf numFmtId="1" fontId="6" fillId="13" borderId="45" xfId="2" applyNumberFormat="1" applyFont="1" applyFill="1" applyBorder="1" applyAlignment="1">
      <alignment horizontal="center"/>
    </xf>
    <xf numFmtId="3" fontId="21" fillId="4" borderId="27" xfId="3" applyNumberFormat="1" applyFont="1" applyFill="1" applyBorder="1" applyProtection="1"/>
    <xf numFmtId="3" fontId="21" fillId="4" borderId="30" xfId="3" applyNumberFormat="1" applyFont="1" applyFill="1" applyBorder="1" applyProtection="1"/>
    <xf numFmtId="0" fontId="108" fillId="0" borderId="43" xfId="11" applyFont="1" applyBorder="1" applyAlignment="1">
      <alignment horizontal="center" vertical="center" wrapText="1"/>
    </xf>
    <xf numFmtId="3" fontId="21" fillId="0" borderId="42" xfId="3" applyNumberFormat="1" applyFont="1" applyFill="1" applyBorder="1" applyProtection="1"/>
    <xf numFmtId="3" fontId="21" fillId="0" borderId="43" xfId="3" applyNumberFormat="1" applyFont="1" applyFill="1" applyBorder="1" applyProtection="1"/>
    <xf numFmtId="10" fontId="21" fillId="3" borderId="42" xfId="4" applyNumberFormat="1" applyFont="1" applyFill="1" applyBorder="1" applyProtection="1">
      <protection locked="0"/>
    </xf>
    <xf numFmtId="10" fontId="21" fillId="3" borderId="43" xfId="4" applyNumberFormat="1" applyFont="1" applyFill="1" applyBorder="1" applyProtection="1">
      <protection locked="0"/>
    </xf>
    <xf numFmtId="10" fontId="21" fillId="3" borderId="44" xfId="4" applyNumberFormat="1" applyFont="1" applyFill="1" applyBorder="1" applyProtection="1">
      <protection locked="0"/>
    </xf>
    <xf numFmtId="10" fontId="21" fillId="5" borderId="14" xfId="4" applyNumberFormat="1" applyFont="1" applyFill="1" applyBorder="1" applyProtection="1">
      <protection locked="0"/>
    </xf>
    <xf numFmtId="165" fontId="22" fillId="6" borderId="12" xfId="3" applyNumberFormat="1" applyFont="1" applyFill="1" applyBorder="1" applyAlignment="1">
      <alignment horizontal="right"/>
    </xf>
    <xf numFmtId="10" fontId="22" fillId="6" borderId="9" xfId="2" applyNumberFormat="1" applyFont="1" applyFill="1" applyBorder="1"/>
    <xf numFmtId="0" fontId="108" fillId="4" borderId="112" xfId="11" applyFont="1" applyFill="1" applyBorder="1" applyAlignment="1">
      <alignment horizontal="center" vertical="center" wrapText="1"/>
    </xf>
    <xf numFmtId="10" fontId="20" fillId="3" borderId="2" xfId="6" applyNumberFormat="1" applyFill="1" applyBorder="1" applyAlignment="1">
      <alignment horizontal="center" vertical="center" wrapText="1"/>
    </xf>
    <xf numFmtId="0" fontId="15" fillId="6" borderId="3" xfId="6" applyFont="1" applyFill="1" applyBorder="1" applyAlignment="1">
      <alignment horizontal="center" vertical="center" wrapText="1"/>
    </xf>
    <xf numFmtId="0" fontId="15" fillId="6" borderId="3" xfId="2" applyFont="1" applyFill="1" applyBorder="1" applyAlignment="1">
      <alignment horizontal="center" vertical="center" wrapText="1"/>
    </xf>
    <xf numFmtId="3" fontId="21" fillId="4" borderId="29" xfId="4" applyNumberFormat="1" applyFont="1" applyFill="1" applyBorder="1" applyAlignment="1" applyProtection="1">
      <alignment horizontal="center"/>
      <protection locked="0"/>
    </xf>
    <xf numFmtId="3" fontId="21" fillId="4" borderId="35" xfId="4" applyNumberFormat="1" applyFont="1" applyFill="1" applyBorder="1" applyAlignment="1" applyProtection="1">
      <alignment horizontal="center"/>
      <protection locked="0"/>
    </xf>
    <xf numFmtId="3" fontId="21" fillId="4" borderId="26" xfId="4" applyNumberFormat="1" applyFont="1" applyFill="1" applyBorder="1" applyAlignment="1" applyProtection="1">
      <alignment horizontal="center"/>
      <protection locked="0"/>
    </xf>
    <xf numFmtId="10" fontId="21" fillId="5" borderId="28" xfId="4" applyNumberFormat="1" applyFont="1" applyFill="1" applyBorder="1" applyProtection="1">
      <protection locked="0"/>
    </xf>
    <xf numFmtId="10" fontId="21" fillId="5" borderId="31" xfId="4" applyNumberFormat="1" applyFont="1" applyFill="1" applyBorder="1" applyProtection="1">
      <protection locked="0"/>
    </xf>
    <xf numFmtId="10" fontId="21" fillId="5" borderId="37" xfId="4" applyNumberFormat="1" applyFont="1" applyFill="1" applyBorder="1" applyProtection="1">
      <protection locked="0"/>
    </xf>
    <xf numFmtId="0" fontId="0" fillId="14" borderId="113" xfId="0" applyFill="1" applyBorder="1"/>
    <xf numFmtId="3" fontId="41" fillId="0" borderId="42" xfId="7" applyNumberFormat="1" applyFont="1" applyBorder="1" applyAlignment="1">
      <alignment horizontal="right" vertical="center" wrapText="1"/>
    </xf>
    <xf numFmtId="3" fontId="41" fillId="0" borderId="26" xfId="7" applyNumberFormat="1" applyFont="1" applyBorder="1" applyAlignment="1">
      <alignment horizontal="right" vertical="center" wrapText="1"/>
    </xf>
    <xf numFmtId="3" fontId="21" fillId="0" borderId="32" xfId="3" applyNumberFormat="1" applyFont="1" applyFill="1" applyBorder="1" applyProtection="1"/>
    <xf numFmtId="3" fontId="21" fillId="0" borderId="29" xfId="3" applyNumberFormat="1" applyFont="1" applyFill="1" applyBorder="1" applyProtection="1"/>
    <xf numFmtId="168" fontId="21" fillId="3" borderId="42" xfId="4" applyNumberFormat="1" applyFont="1" applyFill="1" applyBorder="1" applyProtection="1">
      <protection locked="0"/>
    </xf>
    <xf numFmtId="168" fontId="21" fillId="3" borderId="43" xfId="4" applyNumberFormat="1" applyFont="1" applyFill="1" applyBorder="1" applyProtection="1">
      <protection locked="0"/>
    </xf>
    <xf numFmtId="1" fontId="21" fillId="0" borderId="15" xfId="3" applyNumberFormat="1" applyFont="1" applyFill="1" applyBorder="1" applyProtection="1"/>
    <xf numFmtId="1" fontId="21" fillId="0" borderId="17" xfId="3" applyNumberFormat="1" applyFont="1" applyFill="1" applyBorder="1" applyProtection="1"/>
    <xf numFmtId="166" fontId="112" fillId="13" borderId="46" xfId="2" applyNumberFormat="1" applyFont="1" applyFill="1" applyBorder="1" applyAlignment="1">
      <alignment horizontal="center" vertical="center" wrapText="1"/>
    </xf>
    <xf numFmtId="166" fontId="113" fillId="11" borderId="46" xfId="2" applyNumberFormat="1" applyFont="1" applyFill="1" applyBorder="1" applyAlignment="1">
      <alignment horizontal="center" vertical="center" wrapText="1"/>
    </xf>
    <xf numFmtId="166" fontId="113" fillId="13" borderId="46" xfId="2" applyNumberFormat="1" applyFont="1" applyFill="1" applyBorder="1" applyAlignment="1">
      <alignment horizontal="center" vertical="center" wrapText="1"/>
    </xf>
    <xf numFmtId="0" fontId="114" fillId="11" borderId="46" xfId="2" applyFont="1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/>
    </xf>
    <xf numFmtId="0" fontId="111" fillId="0" borderId="0" xfId="13"/>
    <xf numFmtId="0" fontId="19" fillId="7" borderId="23" xfId="2" applyFont="1" applyFill="1" applyBorder="1"/>
    <xf numFmtId="0" fontId="5" fillId="7" borderId="4" xfId="2" applyFill="1" applyBorder="1"/>
    <xf numFmtId="3" fontId="21" fillId="4" borderId="9" xfId="4" applyNumberFormat="1" applyFont="1" applyFill="1" applyBorder="1" applyProtection="1">
      <protection locked="0"/>
    </xf>
    <xf numFmtId="10" fontId="21" fillId="5" borderId="10" xfId="2" applyNumberFormat="1" applyFont="1" applyFill="1" applyBorder="1"/>
    <xf numFmtId="0" fontId="19" fillId="7" borderId="10" xfId="2" applyFont="1" applyFill="1" applyBorder="1"/>
    <xf numFmtId="10" fontId="33" fillId="11" borderId="48" xfId="1" applyNumberFormat="1" applyFont="1" applyFill="1" applyBorder="1" applyAlignment="1">
      <alignment horizontal="center"/>
    </xf>
    <xf numFmtId="10" fontId="33" fillId="11" borderId="48" xfId="1" applyNumberFormat="1" applyFont="1" applyFill="1" applyBorder="1" applyAlignment="1">
      <alignment horizontal="center" vertical="center" wrapText="1"/>
    </xf>
    <xf numFmtId="165" fontId="34" fillId="11" borderId="48" xfId="1" applyNumberFormat="1" applyFont="1" applyFill="1" applyBorder="1" applyAlignment="1">
      <alignment horizontal="center" vertical="center" wrapText="1"/>
    </xf>
    <xf numFmtId="10" fontId="33" fillId="11" borderId="98" xfId="1" applyNumberFormat="1" applyFont="1" applyFill="1" applyBorder="1" applyAlignment="1">
      <alignment horizontal="center"/>
    </xf>
    <xf numFmtId="10" fontId="33" fillId="11" borderId="98" xfId="1" applyNumberFormat="1" applyFont="1" applyFill="1" applyBorder="1" applyAlignment="1">
      <alignment horizontal="center" vertical="center" wrapText="1"/>
    </xf>
    <xf numFmtId="3" fontId="6" fillId="13" borderId="11" xfId="2" applyNumberFormat="1" applyFont="1" applyFill="1" applyBorder="1" applyAlignment="1">
      <alignment horizontal="center"/>
    </xf>
    <xf numFmtId="1" fontId="6" fillId="13" borderId="11" xfId="2" applyNumberFormat="1" applyFont="1" applyFill="1" applyBorder="1" applyAlignment="1">
      <alignment horizontal="center"/>
    </xf>
    <xf numFmtId="165" fontId="34" fillId="11" borderId="98" xfId="1" applyNumberFormat="1" applyFont="1" applyFill="1" applyBorder="1" applyAlignment="1">
      <alignment horizontal="center" vertical="center" wrapText="1"/>
    </xf>
    <xf numFmtId="1" fontId="21" fillId="0" borderId="26" xfId="3" applyNumberFormat="1" applyFont="1" applyFill="1" applyBorder="1" applyProtection="1"/>
    <xf numFmtId="1" fontId="21" fillId="0" borderId="29" xfId="3" applyNumberFormat="1" applyFont="1" applyFill="1" applyBorder="1" applyProtection="1"/>
    <xf numFmtId="1" fontId="21" fillId="0" borderId="25" xfId="3" applyNumberFormat="1" applyFont="1" applyFill="1" applyBorder="1" applyProtection="1"/>
    <xf numFmtId="1" fontId="21" fillId="0" borderId="38" xfId="3" applyNumberFormat="1" applyFont="1" applyFill="1" applyBorder="1" applyProtection="1"/>
    <xf numFmtId="1" fontId="21" fillId="0" borderId="10" xfId="3" applyNumberFormat="1" applyFont="1" applyFill="1" applyBorder="1" applyProtection="1"/>
    <xf numFmtId="1" fontId="21" fillId="0" borderId="9" xfId="3" applyNumberFormat="1" applyFont="1" applyFill="1" applyBorder="1" applyProtection="1"/>
    <xf numFmtId="3" fontId="21" fillId="0" borderId="38" xfId="3" applyNumberFormat="1" applyFont="1" applyFill="1" applyBorder="1" applyProtection="1"/>
    <xf numFmtId="2" fontId="33" fillId="11" borderId="48" xfId="2" applyNumberFormat="1" applyFont="1" applyFill="1" applyBorder="1" applyAlignment="1">
      <alignment horizontal="center"/>
    </xf>
    <xf numFmtId="165" fontId="33" fillId="11" borderId="48" xfId="1" applyNumberFormat="1" applyFont="1" applyFill="1" applyBorder="1" applyAlignment="1">
      <alignment horizontal="center" vertical="center" wrapText="1"/>
    </xf>
    <xf numFmtId="0" fontId="19" fillId="7" borderId="10" xfId="6" applyFont="1" applyFill="1" applyBorder="1"/>
    <xf numFmtId="3" fontId="21" fillId="0" borderId="9" xfId="3" applyNumberFormat="1" applyFont="1" applyFill="1" applyBorder="1" applyProtection="1"/>
    <xf numFmtId="3" fontId="21" fillId="4" borderId="11" xfId="4" applyNumberFormat="1" applyFont="1" applyFill="1" applyBorder="1" applyAlignment="1" applyProtection="1">
      <alignment horizontal="center"/>
      <protection locked="0"/>
    </xf>
    <xf numFmtId="2" fontId="21" fillId="5" borderId="14" xfId="4" applyNumberFormat="1" applyFont="1" applyFill="1" applyBorder="1" applyProtection="1">
      <protection locked="0"/>
    </xf>
    <xf numFmtId="2" fontId="33" fillId="11" borderId="98" xfId="2" applyNumberFormat="1" applyFont="1" applyFill="1" applyBorder="1" applyAlignment="1">
      <alignment horizontal="center"/>
    </xf>
    <xf numFmtId="165" fontId="33" fillId="11" borderId="98" xfId="1" applyNumberFormat="1" applyFont="1" applyFill="1" applyBorder="1" applyAlignment="1">
      <alignment horizontal="center" vertical="center" wrapText="1"/>
    </xf>
    <xf numFmtId="3" fontId="41" fillId="4" borderId="15" xfId="7" applyNumberFormat="1" applyFont="1" applyFill="1" applyBorder="1" applyAlignment="1">
      <alignment horizontal="center" vertical="center" wrapText="1"/>
    </xf>
    <xf numFmtId="3" fontId="21" fillId="4" borderId="21" xfId="3" applyNumberFormat="1" applyFont="1" applyFill="1" applyBorder="1" applyAlignment="1" applyProtection="1">
      <alignment horizontal="center"/>
    </xf>
    <xf numFmtId="3" fontId="21" fillId="4" borderId="25" xfId="3" applyNumberFormat="1" applyFont="1" applyFill="1" applyBorder="1" applyAlignment="1" applyProtection="1">
      <alignment horizontal="center"/>
    </xf>
    <xf numFmtId="1" fontId="21" fillId="0" borderId="1" xfId="3" applyNumberFormat="1" applyFont="1" applyFill="1" applyBorder="1" applyProtection="1"/>
    <xf numFmtId="10" fontId="33" fillId="11" borderId="13" xfId="1" applyNumberFormat="1" applyFont="1" applyFill="1" applyBorder="1" applyAlignment="1">
      <alignment horizontal="center"/>
    </xf>
    <xf numFmtId="0" fontId="16" fillId="12" borderId="60" xfId="0" applyFont="1" applyFill="1" applyBorder="1" applyAlignment="1">
      <alignment horizontal="center" vertical="center" wrapText="1"/>
    </xf>
    <xf numFmtId="10" fontId="33" fillId="11" borderId="50" xfId="1" applyNumberFormat="1" applyFont="1" applyFill="1" applyBorder="1" applyAlignment="1">
      <alignment horizontal="center" vertical="center" wrapText="1"/>
    </xf>
    <xf numFmtId="10" fontId="33" fillId="11" borderId="114" xfId="1" applyNumberFormat="1" applyFont="1" applyFill="1" applyBorder="1" applyAlignment="1">
      <alignment horizontal="center" vertical="center" wrapText="1"/>
    </xf>
    <xf numFmtId="0" fontId="16" fillId="12" borderId="76" xfId="0" applyFont="1" applyFill="1" applyBorder="1" applyAlignment="1">
      <alignment horizontal="center" vertical="center" wrapText="1"/>
    </xf>
    <xf numFmtId="165" fontId="34" fillId="11" borderId="51" xfId="1" applyNumberFormat="1" applyFont="1" applyFill="1" applyBorder="1" applyAlignment="1">
      <alignment horizontal="center" vertical="center" wrapText="1"/>
    </xf>
    <xf numFmtId="165" fontId="34" fillId="11" borderId="115" xfId="1" applyNumberFormat="1" applyFont="1" applyFill="1" applyBorder="1" applyAlignment="1">
      <alignment horizontal="center" vertical="center" wrapText="1"/>
    </xf>
    <xf numFmtId="165" fontId="22" fillId="3" borderId="11" xfId="4" applyNumberFormat="1" applyFont="1" applyFill="1" applyBorder="1" applyProtection="1">
      <protection locked="0"/>
    </xf>
    <xf numFmtId="1" fontId="109" fillId="0" borderId="38" xfId="11" applyNumberFormat="1" applyFont="1" applyBorder="1" applyAlignment="1">
      <alignment horizontal="center"/>
    </xf>
    <xf numFmtId="2" fontId="23" fillId="8" borderId="38" xfId="2" applyNumberFormat="1" applyFont="1" applyFill="1" applyBorder="1"/>
    <xf numFmtId="2" fontId="5" fillId="9" borderId="38" xfId="2" applyNumberFormat="1" applyFill="1" applyBorder="1"/>
    <xf numFmtId="165" fontId="33" fillId="11" borderId="48" xfId="1" applyNumberFormat="1" applyFont="1" applyFill="1" applyBorder="1" applyAlignment="1">
      <alignment horizontal="center" vertical="center"/>
    </xf>
    <xf numFmtId="165" fontId="34" fillId="11" borderId="48" xfId="1" applyNumberFormat="1" applyFont="1" applyFill="1" applyBorder="1" applyAlignment="1">
      <alignment horizontal="center" vertical="center"/>
    </xf>
    <xf numFmtId="1" fontId="34" fillId="11" borderId="48" xfId="2" applyNumberFormat="1" applyFont="1" applyFill="1" applyBorder="1" applyAlignment="1">
      <alignment horizontal="center" vertical="center"/>
    </xf>
    <xf numFmtId="0" fontId="110" fillId="7" borderId="10" xfId="2" applyFont="1" applyFill="1" applyBorder="1"/>
    <xf numFmtId="1" fontId="109" fillId="0" borderId="9" xfId="11" applyNumberFormat="1" applyFont="1" applyBorder="1" applyAlignment="1">
      <alignment horizontal="center"/>
    </xf>
    <xf numFmtId="2" fontId="5" fillId="9" borderId="9" xfId="2" applyNumberFormat="1" applyFill="1" applyBorder="1"/>
    <xf numFmtId="165" fontId="33" fillId="11" borderId="98" xfId="1" applyNumberFormat="1" applyFont="1" applyFill="1" applyBorder="1" applyAlignment="1">
      <alignment horizontal="center" vertical="center"/>
    </xf>
    <xf numFmtId="165" fontId="34" fillId="11" borderId="98" xfId="1" applyNumberFormat="1" applyFont="1" applyFill="1" applyBorder="1" applyAlignment="1">
      <alignment horizontal="center" vertical="center"/>
    </xf>
    <xf numFmtId="1" fontId="34" fillId="11" borderId="14" xfId="2" applyNumberFormat="1" applyFont="1" applyFill="1" applyBorder="1" applyAlignment="1">
      <alignment horizontal="center" vertical="center"/>
    </xf>
    <xf numFmtId="2" fontId="23" fillId="8" borderId="32" xfId="2" applyNumberFormat="1" applyFont="1" applyFill="1" applyBorder="1"/>
    <xf numFmtId="2" fontId="21" fillId="9" borderId="21" xfId="2" applyNumberFormat="1" applyFont="1" applyFill="1" applyBorder="1"/>
    <xf numFmtId="3" fontId="21" fillId="34" borderId="25" xfId="3" applyNumberFormat="1" applyFont="1" applyFill="1" applyBorder="1" applyProtection="1"/>
    <xf numFmtId="10" fontId="22" fillId="6" borderId="41" xfId="3" applyNumberFormat="1" applyFont="1" applyFill="1" applyBorder="1" applyAlignment="1">
      <alignment horizontal="right"/>
    </xf>
    <xf numFmtId="3" fontId="21" fillId="34" borderId="10" xfId="3" applyNumberFormat="1" applyFont="1" applyFill="1" applyBorder="1" applyProtection="1"/>
    <xf numFmtId="165" fontId="33" fillId="11" borderId="60" xfId="1" applyNumberFormat="1" applyFont="1" applyFill="1" applyBorder="1" applyAlignment="1">
      <alignment horizontal="center" vertical="center" wrapText="1"/>
    </xf>
    <xf numFmtId="165" fontId="33" fillId="11" borderId="50" xfId="1" applyNumberFormat="1" applyFont="1" applyFill="1" applyBorder="1" applyAlignment="1">
      <alignment horizontal="center" vertical="center" wrapText="1"/>
    </xf>
    <xf numFmtId="3" fontId="6" fillId="13" borderId="7" xfId="2" applyNumberFormat="1" applyFont="1" applyFill="1" applyBorder="1" applyAlignment="1">
      <alignment horizontal="center"/>
    </xf>
    <xf numFmtId="1" fontId="6" fillId="13" borderId="7" xfId="2" applyNumberFormat="1" applyFont="1" applyFill="1" applyBorder="1" applyAlignment="1">
      <alignment horizontal="center"/>
    </xf>
    <xf numFmtId="2" fontId="33" fillId="11" borderId="46" xfId="2" applyNumberFormat="1" applyFont="1" applyFill="1" applyBorder="1" applyAlignment="1">
      <alignment horizontal="center"/>
    </xf>
    <xf numFmtId="165" fontId="33" fillId="11" borderId="46" xfId="1" applyNumberFormat="1" applyFont="1" applyFill="1" applyBorder="1" applyAlignment="1">
      <alignment horizontal="center" vertical="center" wrapText="1"/>
    </xf>
    <xf numFmtId="3" fontId="21" fillId="0" borderId="4" xfId="3" applyNumberFormat="1" applyFont="1" applyFill="1" applyBorder="1" applyProtection="1"/>
    <xf numFmtId="3" fontId="6" fillId="13" borderId="48" xfId="2" applyNumberFormat="1" applyFont="1" applyFill="1" applyBorder="1" applyAlignment="1">
      <alignment horizontal="center"/>
    </xf>
    <xf numFmtId="1" fontId="6" fillId="13" borderId="48" xfId="2" applyNumberFormat="1" applyFont="1" applyFill="1" applyBorder="1" applyAlignment="1">
      <alignment horizontal="center"/>
    </xf>
    <xf numFmtId="3" fontId="21" fillId="0" borderId="10" xfId="3" applyNumberFormat="1" applyFont="1" applyFill="1" applyBorder="1" applyProtection="1"/>
    <xf numFmtId="3" fontId="6" fillId="13" borderId="98" xfId="2" applyNumberFormat="1" applyFont="1" applyFill="1" applyBorder="1" applyAlignment="1">
      <alignment horizontal="center"/>
    </xf>
    <xf numFmtId="1" fontId="6" fillId="13" borderId="98" xfId="2" applyNumberFormat="1" applyFont="1" applyFill="1" applyBorder="1" applyAlignment="1">
      <alignment horizontal="center"/>
    </xf>
    <xf numFmtId="0" fontId="115" fillId="37" borderId="45" xfId="0" applyFont="1" applyFill="1" applyBorder="1" applyAlignment="1">
      <alignment horizontal="center" vertical="center" wrapText="1"/>
    </xf>
    <xf numFmtId="0" fontId="116" fillId="0" borderId="45" xfId="0" applyFont="1" applyBorder="1"/>
    <xf numFmtId="165" fontId="43" fillId="0" borderId="33" xfId="8" applyNumberFormat="1" applyFont="1" applyBorder="1"/>
    <xf numFmtId="165" fontId="43" fillId="0" borderId="15" xfId="8" applyNumberFormat="1" applyFont="1" applyBorder="1"/>
    <xf numFmtId="165" fontId="43" fillId="0" borderId="17" xfId="8" applyNumberFormat="1" applyFont="1" applyBorder="1"/>
    <xf numFmtId="1" fontId="62" fillId="0" borderId="78" xfId="5" applyNumberFormat="1" applyFont="1" applyBorder="1"/>
    <xf numFmtId="1" fontId="21" fillId="39" borderId="10" xfId="3" applyNumberFormat="1" applyFont="1" applyFill="1" applyBorder="1" applyProtection="1"/>
    <xf numFmtId="1" fontId="21" fillId="39" borderId="9" xfId="4" applyNumberFormat="1" applyFont="1" applyFill="1" applyBorder="1" applyProtection="1">
      <protection locked="0"/>
    </xf>
    <xf numFmtId="165" fontId="22" fillId="6" borderId="9" xfId="3" applyNumberFormat="1" applyFont="1" applyFill="1" applyBorder="1" applyAlignment="1">
      <alignment horizontal="right"/>
    </xf>
    <xf numFmtId="3" fontId="21" fillId="0" borderId="38" xfId="4" applyNumberFormat="1" applyFont="1" applyFill="1" applyBorder="1" applyProtection="1">
      <protection locked="0"/>
    </xf>
    <xf numFmtId="0" fontId="41" fillId="7" borderId="10" xfId="2" applyFont="1" applyFill="1" applyBorder="1"/>
    <xf numFmtId="3" fontId="21" fillId="0" borderId="25" xfId="3" applyNumberFormat="1" applyFont="1" applyFill="1" applyBorder="1" applyProtection="1"/>
    <xf numFmtId="0" fontId="117" fillId="0" borderId="0" xfId="2" applyFont="1"/>
    <xf numFmtId="0" fontId="28" fillId="0" borderId="44" xfId="0" applyFont="1" applyBorder="1" applyAlignment="1">
      <alignment vertical="center" wrapText="1"/>
    </xf>
    <xf numFmtId="0" fontId="62" fillId="0" borderId="77" xfId="5" applyFont="1" applyBorder="1"/>
    <xf numFmtId="1" fontId="62" fillId="0" borderId="45" xfId="5" applyNumberFormat="1" applyFont="1" applyBorder="1"/>
    <xf numFmtId="0" fontId="62" fillId="0" borderId="48" xfId="5" applyFont="1" applyBorder="1" applyAlignment="1">
      <alignment horizontal="center"/>
    </xf>
    <xf numFmtId="1" fontId="62" fillId="0" borderId="55" xfId="5" applyNumberFormat="1" applyFont="1" applyBorder="1"/>
    <xf numFmtId="1" fontId="65" fillId="0" borderId="55" xfId="5" applyNumberFormat="1" applyFont="1" applyBorder="1"/>
    <xf numFmtId="3" fontId="61" fillId="0" borderId="19" xfId="0" applyNumberFormat="1" applyFont="1" applyBorder="1"/>
    <xf numFmtId="0" fontId="65" fillId="25" borderId="116" xfId="5" applyFont="1" applyFill="1" applyBorder="1"/>
    <xf numFmtId="0" fontId="65" fillId="25" borderId="56" xfId="5" applyFont="1" applyFill="1" applyBorder="1"/>
    <xf numFmtId="0" fontId="65" fillId="25" borderId="117" xfId="5" applyFont="1" applyFill="1" applyBorder="1"/>
    <xf numFmtId="0" fontId="62" fillId="0" borderId="45" xfId="0" applyFon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10" fontId="28" fillId="0" borderId="8" xfId="0" applyNumberFormat="1" applyFont="1" applyBorder="1" applyAlignment="1">
      <alignment horizontal="center" vertical="center" wrapText="1"/>
    </xf>
    <xf numFmtId="165" fontId="28" fillId="0" borderId="102" xfId="0" applyNumberFormat="1" applyFont="1" applyBorder="1" applyAlignment="1">
      <alignment horizontal="center" vertical="center" wrapText="1"/>
    </xf>
    <xf numFmtId="10" fontId="28" fillId="0" borderId="102" xfId="0" applyNumberFormat="1" applyFont="1" applyBorder="1" applyAlignment="1">
      <alignment horizontal="center" vertical="center" wrapText="1"/>
    </xf>
    <xf numFmtId="10" fontId="61" fillId="22" borderId="70" xfId="2" applyNumberFormat="1" applyFont="1" applyFill="1" applyBorder="1" applyAlignment="1">
      <alignment horizontal="center" vertical="center" wrapText="1"/>
    </xf>
    <xf numFmtId="10" fontId="61" fillId="22" borderId="54" xfId="2" applyNumberFormat="1" applyFont="1" applyFill="1" applyBorder="1" applyAlignment="1">
      <alignment horizontal="center" vertical="center" wrapText="1"/>
    </xf>
    <xf numFmtId="2" fontId="61" fillId="22" borderId="54" xfId="2" applyNumberFormat="1" applyFont="1" applyFill="1" applyBorder="1" applyAlignment="1">
      <alignment horizontal="center" vertical="center" wrapText="1"/>
    </xf>
    <xf numFmtId="10" fontId="54" fillId="22" borderId="54" xfId="2" applyNumberFormat="1" applyFont="1" applyFill="1" applyBorder="1" applyAlignment="1">
      <alignment horizontal="center" vertical="center" wrapText="1"/>
    </xf>
    <xf numFmtId="2" fontId="61" fillId="22" borderId="54" xfId="8" applyNumberFormat="1" applyFont="1" applyFill="1" applyBorder="1" applyAlignment="1">
      <alignment horizontal="center" vertical="center" wrapText="1"/>
    </xf>
    <xf numFmtId="10" fontId="61" fillId="22" borderId="53" xfId="2" applyNumberFormat="1" applyFont="1" applyFill="1" applyBorder="1" applyAlignment="1">
      <alignment horizontal="center" vertical="center" wrapText="1"/>
    </xf>
    <xf numFmtId="10" fontId="61" fillId="22" borderId="57" xfId="2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10" fontId="13" fillId="0" borderId="45" xfId="1" applyNumberFormat="1" applyFont="1" applyFill="1" applyBorder="1" applyAlignment="1">
      <alignment horizontal="center" vertical="center"/>
    </xf>
    <xf numFmtId="2" fontId="13" fillId="0" borderId="45" xfId="0" applyNumberFormat="1" applyFont="1" applyBorder="1" applyAlignment="1">
      <alignment horizontal="center" vertical="center"/>
    </xf>
    <xf numFmtId="0" fontId="108" fillId="0" borderId="10" xfId="11" applyFont="1" applyBorder="1" applyAlignment="1">
      <alignment horizontal="center" vertical="center" wrapText="1"/>
    </xf>
    <xf numFmtId="10" fontId="5" fillId="3" borderId="9" xfId="2" applyNumberFormat="1" applyFill="1" applyBorder="1" applyAlignment="1">
      <alignment horizontal="center" vertical="center" wrapText="1"/>
    </xf>
    <xf numFmtId="166" fontId="21" fillId="5" borderId="1" xfId="2" applyNumberFormat="1" applyFont="1" applyFill="1" applyBorder="1"/>
    <xf numFmtId="166" fontId="21" fillId="5" borderId="4" xfId="2" applyNumberFormat="1" applyFont="1" applyFill="1" applyBorder="1"/>
    <xf numFmtId="166" fontId="21" fillId="5" borderId="10" xfId="2" applyNumberFormat="1" applyFont="1" applyFill="1" applyBorder="1"/>
    <xf numFmtId="165" fontId="18" fillId="5" borderId="9" xfId="2" applyNumberFormat="1" applyFont="1" applyFill="1" applyBorder="1" applyAlignment="1">
      <alignment horizontal="center" vertical="center" wrapText="1"/>
    </xf>
    <xf numFmtId="10" fontId="18" fillId="5" borderId="9" xfId="2" applyNumberFormat="1" applyFont="1" applyFill="1" applyBorder="1" applyAlignment="1">
      <alignment horizontal="center" vertical="center" wrapText="1"/>
    </xf>
    <xf numFmtId="3" fontId="21" fillId="4" borderId="42" xfId="3" applyNumberFormat="1" applyFont="1" applyFill="1" applyBorder="1" applyProtection="1"/>
    <xf numFmtId="165" fontId="18" fillId="5" borderId="1" xfId="2" applyNumberFormat="1" applyFont="1" applyFill="1" applyBorder="1" applyAlignment="1">
      <alignment horizontal="center" vertical="center" wrapText="1"/>
    </xf>
    <xf numFmtId="165" fontId="21" fillId="5" borderId="28" xfId="4" applyNumberFormat="1" applyFont="1" applyFill="1" applyBorder="1" applyProtection="1">
      <protection locked="0"/>
    </xf>
    <xf numFmtId="165" fontId="21" fillId="5" borderId="31" xfId="4" applyNumberFormat="1" applyFont="1" applyFill="1" applyBorder="1" applyProtection="1">
      <protection locked="0"/>
    </xf>
    <xf numFmtId="3" fontId="21" fillId="4" borderId="39" xfId="3" applyNumberFormat="1" applyFont="1" applyFill="1" applyBorder="1" applyProtection="1"/>
    <xf numFmtId="165" fontId="21" fillId="5" borderId="41" xfId="4" applyNumberFormat="1" applyFont="1" applyFill="1" applyBorder="1" applyProtection="1">
      <protection locked="0"/>
    </xf>
    <xf numFmtId="3" fontId="21" fillId="4" borderId="11" xfId="3" applyNumberFormat="1" applyFont="1" applyFill="1" applyBorder="1" applyProtection="1"/>
    <xf numFmtId="165" fontId="21" fillId="5" borderId="12" xfId="4" applyNumberFormat="1" applyFont="1" applyFill="1" applyBorder="1" applyProtection="1">
      <protection locked="0"/>
    </xf>
    <xf numFmtId="10" fontId="21" fillId="5" borderId="41" xfId="4" applyNumberFormat="1" applyFont="1" applyFill="1" applyBorder="1" applyProtection="1">
      <protection locked="0"/>
    </xf>
    <xf numFmtId="10" fontId="21" fillId="5" borderId="42" xfId="2" applyNumberFormat="1" applyFont="1" applyFill="1" applyBorder="1"/>
    <xf numFmtId="10" fontId="21" fillId="5" borderId="43" xfId="2" applyNumberFormat="1" applyFont="1" applyFill="1" applyBorder="1"/>
    <xf numFmtId="10" fontId="21" fillId="5" borderId="44" xfId="2" applyNumberFormat="1" applyFont="1" applyFill="1" applyBorder="1"/>
    <xf numFmtId="9" fontId="16" fillId="0" borderId="45" xfId="1" applyFont="1" applyBorder="1" applyAlignment="1">
      <alignment horizontal="center"/>
    </xf>
    <xf numFmtId="0" fontId="115" fillId="37" borderId="0" xfId="0" applyFont="1" applyFill="1" applyBorder="1" applyAlignment="1">
      <alignment horizontal="center" vertical="center" wrapText="1"/>
    </xf>
    <xf numFmtId="10" fontId="5" fillId="3" borderId="0" xfId="2" applyNumberFormat="1" applyFill="1" applyBorder="1" applyAlignment="1">
      <alignment horizontal="center" vertical="center" wrapText="1"/>
    </xf>
    <xf numFmtId="9" fontId="18" fillId="5" borderId="4" xfId="2" applyNumberFormat="1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0" xfId="0" applyFill="1" applyBorder="1"/>
    <xf numFmtId="0" fontId="20" fillId="4" borderId="1" xfId="2" applyFont="1" applyFill="1" applyBorder="1" applyAlignment="1">
      <alignment horizontal="center" vertical="center" wrapText="1"/>
    </xf>
    <xf numFmtId="9" fontId="18" fillId="5" borderId="9" xfId="6" applyNumberFormat="1" applyFont="1" applyFill="1" applyBorder="1" applyAlignment="1">
      <alignment horizontal="center" vertical="center" wrapText="1"/>
    </xf>
    <xf numFmtId="9" fontId="18" fillId="5" borderId="10" xfId="6" applyNumberFormat="1" applyFont="1" applyFill="1" applyBorder="1" applyAlignment="1">
      <alignment horizontal="center" vertical="center" wrapText="1"/>
    </xf>
    <xf numFmtId="10" fontId="21" fillId="5" borderId="9" xfId="4" applyNumberFormat="1" applyFont="1" applyFill="1" applyBorder="1" applyProtection="1">
      <protection locked="0"/>
    </xf>
    <xf numFmtId="2" fontId="18" fillId="5" borderId="13" xfId="2" applyNumberFormat="1" applyFont="1" applyFill="1" applyBorder="1" applyAlignment="1">
      <alignment horizontal="center" vertical="center" wrapText="1"/>
    </xf>
    <xf numFmtId="2" fontId="21" fillId="9" borderId="4" xfId="2" applyNumberFormat="1" applyFont="1" applyFill="1" applyBorder="1"/>
    <xf numFmtId="2" fontId="21" fillId="9" borderId="9" xfId="2" applyNumberFormat="1" applyFont="1" applyFill="1" applyBorder="1"/>
    <xf numFmtId="10" fontId="22" fillId="6" borderId="9" xfId="3" applyNumberFormat="1" applyFont="1" applyFill="1" applyBorder="1" applyAlignment="1">
      <alignment horizontal="right"/>
    </xf>
    <xf numFmtId="10" fontId="18" fillId="5" borderId="10" xfId="2" applyNumberFormat="1" applyFont="1" applyFill="1" applyBorder="1" applyAlignment="1">
      <alignment horizontal="center" vertical="center" wrapText="1"/>
    </xf>
    <xf numFmtId="166" fontId="18" fillId="5" borderId="10" xfId="2" applyNumberFormat="1" applyFont="1" applyFill="1" applyBorder="1" applyAlignment="1">
      <alignment horizontal="center" vertical="center" wrapText="1"/>
    </xf>
    <xf numFmtId="0" fontId="28" fillId="7" borderId="42" xfId="0" applyFont="1" applyFill="1" applyBorder="1" applyAlignment="1">
      <alignment vertical="center" wrapText="1"/>
    </xf>
    <xf numFmtId="0" fontId="28" fillId="7" borderId="8" xfId="0" applyFont="1" applyFill="1" applyBorder="1" applyAlignment="1">
      <alignment vertical="center" wrapText="1"/>
    </xf>
    <xf numFmtId="0" fontId="28" fillId="7" borderId="8" xfId="0" applyFont="1" applyFill="1" applyBorder="1" applyAlignment="1">
      <alignment horizontal="center" vertical="center" wrapText="1"/>
    </xf>
    <xf numFmtId="9" fontId="28" fillId="7" borderId="8" xfId="0" applyNumberFormat="1" applyFont="1" applyFill="1" applyBorder="1" applyAlignment="1">
      <alignment horizontal="center" vertical="center" wrapText="1"/>
    </xf>
    <xf numFmtId="0" fontId="28" fillId="7" borderId="42" xfId="0" applyFont="1" applyFill="1" applyBorder="1" applyAlignment="1">
      <alignment horizontal="center" vertical="center" wrapText="1"/>
    </xf>
    <xf numFmtId="0" fontId="28" fillId="7" borderId="12" xfId="0" applyFont="1" applyFill="1" applyBorder="1" applyAlignment="1">
      <alignment vertical="center" wrapText="1"/>
    </xf>
    <xf numFmtId="0" fontId="28" fillId="7" borderId="12" xfId="0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vertical="center" wrapText="1"/>
    </xf>
    <xf numFmtId="10" fontId="28" fillId="7" borderId="12" xfId="1" applyNumberFormat="1" applyFont="1" applyFill="1" applyBorder="1" applyAlignment="1">
      <alignment horizontal="center" vertical="center" wrapText="1"/>
    </xf>
    <xf numFmtId="10" fontId="21" fillId="3" borderId="10" xfId="4" applyNumberFormat="1" applyFont="1" applyFill="1" applyBorder="1" applyProtection="1">
      <protection locked="0"/>
    </xf>
    <xf numFmtId="10" fontId="21" fillId="3" borderId="7" xfId="4" applyNumberFormat="1" applyFont="1" applyFill="1" applyBorder="1" applyProtection="1">
      <protection locked="0"/>
    </xf>
    <xf numFmtId="2" fontId="18" fillId="5" borderId="9" xfId="6" applyNumberFormat="1" applyFont="1" applyFill="1" applyBorder="1" applyAlignment="1">
      <alignment horizontal="center" vertical="center" wrapText="1"/>
    </xf>
    <xf numFmtId="3" fontId="62" fillId="0" borderId="45" xfId="5" applyNumberFormat="1" applyFont="1" applyBorder="1"/>
    <xf numFmtId="0" fontId="15" fillId="24" borderId="60" xfId="5" applyFont="1" applyFill="1" applyBorder="1" applyAlignment="1">
      <alignment horizontal="center" vertical="center" wrapText="1"/>
    </xf>
    <xf numFmtId="0" fontId="73" fillId="16" borderId="73" xfId="5" applyFont="1" applyFill="1" applyBorder="1" applyAlignment="1">
      <alignment horizontal="center" vertical="center" wrapText="1"/>
    </xf>
    <xf numFmtId="0" fontId="73" fillId="16" borderId="118" xfId="5" applyFont="1" applyFill="1" applyBorder="1" applyAlignment="1">
      <alignment horizontal="center" vertical="center" wrapText="1"/>
    </xf>
    <xf numFmtId="0" fontId="73" fillId="16" borderId="74" xfId="5" applyFont="1" applyFill="1" applyBorder="1" applyAlignment="1">
      <alignment horizontal="center" vertical="center" wrapText="1"/>
    </xf>
    <xf numFmtId="0" fontId="73" fillId="16" borderId="119" xfId="0" applyFont="1" applyFill="1" applyBorder="1" applyAlignment="1">
      <alignment horizontal="center" vertical="center" wrapText="1"/>
    </xf>
    <xf numFmtId="0" fontId="65" fillId="25" borderId="3" xfId="5" applyFont="1" applyFill="1" applyBorder="1"/>
    <xf numFmtId="0" fontId="65" fillId="25" borderId="5" xfId="5" applyFont="1" applyFill="1" applyBorder="1"/>
    <xf numFmtId="0" fontId="66" fillId="0" borderId="116" xfId="5" applyFont="1" applyBorder="1"/>
    <xf numFmtId="0" fontId="66" fillId="0" borderId="0" xfId="5" applyFont="1" applyBorder="1"/>
    <xf numFmtId="0" fontId="65" fillId="0" borderId="0" xfId="5" applyFont="1" applyBorder="1"/>
    <xf numFmtId="0" fontId="0" fillId="0" borderId="5" xfId="0" applyBorder="1"/>
    <xf numFmtId="3" fontId="62" fillId="0" borderId="120" xfId="5" applyNumberFormat="1" applyFont="1" applyBorder="1"/>
    <xf numFmtId="1" fontId="62" fillId="0" borderId="121" xfId="0" applyNumberFormat="1" applyFont="1" applyBorder="1"/>
    <xf numFmtId="0" fontId="39" fillId="15" borderId="45" xfId="2" applyFont="1" applyFill="1" applyBorder="1" applyAlignment="1">
      <alignment horizontal="center" vertical="center" wrapText="1"/>
    </xf>
    <xf numFmtId="3" fontId="28" fillId="0" borderId="122" xfId="10" applyNumberFormat="1" applyFont="1" applyBorder="1"/>
    <xf numFmtId="3" fontId="61" fillId="0" borderId="48" xfId="10" applyNumberFormat="1" applyFont="1" applyBorder="1"/>
    <xf numFmtId="1" fontId="42" fillId="0" borderId="13" xfId="4" applyNumberFormat="1" applyFont="1" applyFill="1" applyBorder="1" applyProtection="1">
      <protection locked="0"/>
    </xf>
    <xf numFmtId="1" fontId="22" fillId="0" borderId="14" xfId="4" applyNumberFormat="1" applyFont="1" applyFill="1" applyBorder="1" applyProtection="1">
      <protection locked="0"/>
    </xf>
    <xf numFmtId="3" fontId="28" fillId="0" borderId="120" xfId="10" applyNumberFormat="1" applyFont="1" applyBorder="1"/>
    <xf numFmtId="1" fontId="118" fillId="0" borderId="127" xfId="4" applyNumberFormat="1" applyFont="1" applyFill="1" applyBorder="1" applyProtection="1">
      <protection locked="0"/>
    </xf>
    <xf numFmtId="1" fontId="22" fillId="0" borderId="45" xfId="4" applyNumberFormat="1" applyFont="1" applyFill="1" applyBorder="1" applyProtection="1">
      <protection locked="0"/>
    </xf>
    <xf numFmtId="1" fontId="39" fillId="15" borderId="45" xfId="2" applyNumberFormat="1" applyFont="1" applyFill="1" applyBorder="1" applyAlignment="1">
      <alignment horizontal="center" vertical="center" wrapText="1"/>
    </xf>
    <xf numFmtId="3" fontId="61" fillId="0" borderId="45" xfId="10" applyNumberFormat="1" applyFont="1" applyBorder="1"/>
    <xf numFmtId="1" fontId="22" fillId="0" borderId="48" xfId="4" applyNumberFormat="1" applyFont="1" applyFill="1" applyBorder="1" applyProtection="1">
      <protection locked="0"/>
    </xf>
    <xf numFmtId="1" fontId="22" fillId="0" borderId="98" xfId="4" applyNumberFormat="1" applyFont="1" applyFill="1" applyBorder="1" applyProtection="1">
      <protection locked="0"/>
    </xf>
    <xf numFmtId="3" fontId="28" fillId="0" borderId="126" xfId="10" applyNumberFormat="1" applyFont="1" applyBorder="1"/>
    <xf numFmtId="1" fontId="21" fillId="0" borderId="121" xfId="4" applyNumberFormat="1" applyFont="1" applyFill="1" applyBorder="1" applyProtection="1">
      <protection locked="0"/>
    </xf>
    <xf numFmtId="1" fontId="21" fillId="0" borderId="125" xfId="4" applyNumberFormat="1" applyFont="1" applyFill="1" applyBorder="1" applyProtection="1">
      <protection locked="0"/>
    </xf>
    <xf numFmtId="3" fontId="28" fillId="0" borderId="124" xfId="10" applyNumberFormat="1" applyFont="1" applyBorder="1"/>
    <xf numFmtId="1" fontId="118" fillId="0" borderId="45" xfId="4" applyNumberFormat="1" applyFont="1" applyFill="1" applyBorder="1" applyProtection="1">
      <protection locked="0"/>
    </xf>
    <xf numFmtId="1" fontId="118" fillId="0" borderId="123" xfId="4" applyNumberFormat="1" applyFont="1" applyFill="1" applyBorder="1" applyProtection="1">
      <protection locked="0"/>
    </xf>
    <xf numFmtId="1" fontId="21" fillId="0" borderId="128" xfId="4" applyNumberFormat="1" applyFont="1" applyFill="1" applyBorder="1" applyProtection="1">
      <protection locked="0"/>
    </xf>
    <xf numFmtId="0" fontId="2" fillId="0" borderId="0" xfId="2" applyFont="1"/>
    <xf numFmtId="0" fontId="13" fillId="0" borderId="46" xfId="0" applyFont="1" applyBorder="1" applyAlignment="1">
      <alignment horizontal="center" vertical="center"/>
    </xf>
    <xf numFmtId="0" fontId="120" fillId="32" borderId="13" xfId="0" applyFont="1" applyFill="1" applyBorder="1" applyAlignment="1">
      <alignment horizontal="center" vertical="center" wrapText="1"/>
    </xf>
    <xf numFmtId="0" fontId="121" fillId="37" borderId="98" xfId="0" applyFont="1" applyFill="1" applyBorder="1" applyAlignment="1">
      <alignment horizontal="center" vertical="center" wrapText="1"/>
    </xf>
    <xf numFmtId="0" fontId="121" fillId="37" borderId="14" xfId="0" applyFont="1" applyFill="1" applyBorder="1" applyAlignment="1">
      <alignment horizontal="center" vertical="center" wrapText="1"/>
    </xf>
    <xf numFmtId="0" fontId="14" fillId="23" borderId="0" xfId="5" applyFont="1" applyFill="1" applyBorder="1" applyAlignment="1">
      <alignment horizontal="center" vertical="center" wrapText="1"/>
    </xf>
    <xf numFmtId="0" fontId="62" fillId="25" borderId="0" xfId="5" applyFont="1" applyFill="1" applyBorder="1" applyAlignment="1">
      <alignment horizontal="center"/>
    </xf>
    <xf numFmtId="0" fontId="62" fillId="0" borderId="0" xfId="5" applyFont="1" applyBorder="1" applyAlignment="1">
      <alignment horizontal="center"/>
    </xf>
    <xf numFmtId="0" fontId="62" fillId="0" borderId="0" xfId="5" applyFont="1" applyBorder="1"/>
    <xf numFmtId="0" fontId="62" fillId="0" borderId="0" xfId="0" applyFont="1" applyBorder="1"/>
    <xf numFmtId="10" fontId="33" fillId="11" borderId="76" xfId="1" applyNumberFormat="1" applyFont="1" applyFill="1" applyBorder="1" applyAlignment="1">
      <alignment horizontal="center"/>
    </xf>
    <xf numFmtId="3" fontId="21" fillId="4" borderId="13" xfId="3" applyNumberFormat="1" applyFont="1" applyFill="1" applyBorder="1" applyProtection="1"/>
    <xf numFmtId="3" fontId="21" fillId="4" borderId="98" xfId="3" applyNumberFormat="1" applyFont="1" applyFill="1" applyBorder="1" applyProtection="1"/>
    <xf numFmtId="3" fontId="21" fillId="4" borderId="98" xfId="3" applyNumberFormat="1" applyFont="1" applyFill="1" applyBorder="1" applyAlignment="1" applyProtection="1">
      <alignment horizontal="center"/>
    </xf>
    <xf numFmtId="10" fontId="21" fillId="3" borderId="98" xfId="4" applyNumberFormat="1" applyFont="1" applyFill="1" applyBorder="1" applyProtection="1">
      <protection locked="0"/>
    </xf>
    <xf numFmtId="10" fontId="21" fillId="5" borderId="98" xfId="6" applyNumberFormat="1" applyFont="1" applyFill="1" applyBorder="1"/>
    <xf numFmtId="10" fontId="21" fillId="5" borderId="98" xfId="4" applyNumberFormat="1" applyFont="1" applyFill="1" applyBorder="1" applyProtection="1">
      <protection locked="0"/>
    </xf>
    <xf numFmtId="165" fontId="22" fillId="6" borderId="98" xfId="3" applyNumberFormat="1" applyFont="1" applyFill="1" applyBorder="1" applyAlignment="1">
      <alignment horizontal="right"/>
    </xf>
    <xf numFmtId="2" fontId="28" fillId="0" borderId="8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0" fillId="7" borderId="45" xfId="0" applyFill="1" applyBorder="1"/>
    <xf numFmtId="0" fontId="8" fillId="0" borderId="0" xfId="0" applyFont="1"/>
    <xf numFmtId="10" fontId="21" fillId="5" borderId="117" xfId="4" applyNumberFormat="1" applyFont="1" applyFill="1" applyBorder="1" applyProtection="1">
      <protection locked="0"/>
    </xf>
    <xf numFmtId="2" fontId="33" fillId="11" borderId="115" xfId="2" applyNumberFormat="1" applyFont="1" applyFill="1" applyBorder="1" applyAlignment="1">
      <alignment horizontal="center"/>
    </xf>
    <xf numFmtId="2" fontId="33" fillId="11" borderId="9" xfId="2" applyNumberFormat="1" applyFont="1" applyFill="1" applyBorder="1" applyAlignment="1">
      <alignment horizontal="center"/>
    </xf>
    <xf numFmtId="0" fontId="19" fillId="3" borderId="9" xfId="2" applyFont="1" applyFill="1" applyBorder="1"/>
    <xf numFmtId="9" fontId="15" fillId="6" borderId="5" xfId="1" applyNumberFormat="1" applyFont="1" applyFill="1" applyBorder="1" applyAlignment="1">
      <alignment horizontal="center" vertical="center" wrapText="1"/>
    </xf>
    <xf numFmtId="165" fontId="22" fillId="6" borderId="27" xfId="3" applyNumberFormat="1" applyFont="1" applyFill="1" applyBorder="1" applyAlignment="1">
      <alignment horizontal="right"/>
    </xf>
    <xf numFmtId="165" fontId="22" fillId="6" borderId="30" xfId="3" applyNumberFormat="1" applyFont="1" applyFill="1" applyBorder="1" applyAlignment="1">
      <alignment horizontal="right"/>
    </xf>
    <xf numFmtId="165" fontId="22" fillId="6" borderId="39" xfId="3" applyNumberFormat="1" applyFont="1" applyFill="1" applyBorder="1" applyAlignment="1">
      <alignment horizontal="right"/>
    </xf>
    <xf numFmtId="165" fontId="22" fillId="6" borderId="11" xfId="3" applyNumberFormat="1" applyFont="1" applyFill="1" applyBorder="1" applyAlignment="1">
      <alignment horizontal="right"/>
    </xf>
    <xf numFmtId="10" fontId="33" fillId="11" borderId="51" xfId="1" applyNumberFormat="1" applyFont="1" applyFill="1" applyBorder="1" applyAlignment="1">
      <alignment horizontal="center"/>
    </xf>
    <xf numFmtId="10" fontId="33" fillId="11" borderId="115" xfId="1" applyNumberFormat="1" applyFont="1" applyFill="1" applyBorder="1" applyAlignment="1">
      <alignment horizontal="center"/>
    </xf>
    <xf numFmtId="2" fontId="15" fillId="6" borderId="5" xfId="2" applyNumberFormat="1" applyFont="1" applyFill="1" applyBorder="1" applyAlignment="1">
      <alignment horizontal="center" vertical="center" wrapText="1"/>
    </xf>
    <xf numFmtId="1" fontId="6" fillId="13" borderId="9" xfId="2" applyNumberFormat="1" applyFont="1" applyFill="1" applyBorder="1" applyAlignment="1">
      <alignment horizontal="center"/>
    </xf>
    <xf numFmtId="165" fontId="43" fillId="0" borderId="39" xfId="8" applyNumberFormat="1" applyFont="1" applyBorder="1"/>
    <xf numFmtId="165" fontId="43" fillId="0" borderId="25" xfId="8" applyNumberFormat="1" applyFont="1" applyBorder="1"/>
    <xf numFmtId="10" fontId="61" fillId="23" borderId="38" xfId="8" applyNumberFormat="1" applyFont="1" applyFill="1" applyBorder="1"/>
    <xf numFmtId="0" fontId="43" fillId="0" borderId="9" xfId="8" applyFont="1" applyBorder="1"/>
    <xf numFmtId="165" fontId="43" fillId="0" borderId="11" xfId="8" applyNumberFormat="1" applyFont="1" applyBorder="1"/>
    <xf numFmtId="165" fontId="43" fillId="0" borderId="10" xfId="8" applyNumberFormat="1" applyFont="1" applyBorder="1"/>
    <xf numFmtId="10" fontId="61" fillId="23" borderId="9" xfId="8" applyNumberFormat="1" applyFont="1" applyFill="1" applyBorder="1"/>
    <xf numFmtId="0" fontId="116" fillId="0" borderId="48" xfId="0" applyFont="1" applyBorder="1"/>
    <xf numFmtId="10" fontId="20" fillId="0" borderId="39" xfId="8" applyNumberFormat="1" applyBorder="1"/>
    <xf numFmtId="10" fontId="20" fillId="0" borderId="5" xfId="8" applyNumberFormat="1" applyBorder="1"/>
    <xf numFmtId="10" fontId="64" fillId="9" borderId="38" xfId="8" applyNumberFormat="1" applyFont="1" applyFill="1" applyBorder="1"/>
    <xf numFmtId="0" fontId="20" fillId="0" borderId="9" xfId="8" applyBorder="1"/>
    <xf numFmtId="10" fontId="20" fillId="0" borderId="11" xfId="8" applyNumberFormat="1" applyBorder="1"/>
    <xf numFmtId="165" fontId="5" fillId="0" borderId="11" xfId="2" applyNumberFormat="1" applyBorder="1"/>
    <xf numFmtId="10" fontId="20" fillId="0" borderId="12" xfId="8" applyNumberFormat="1" applyBorder="1"/>
    <xf numFmtId="10" fontId="64" fillId="9" borderId="9" xfId="8" applyNumberFormat="1" applyFont="1" applyFill="1" applyBorder="1"/>
    <xf numFmtId="2" fontId="15" fillId="6" borderId="5" xfId="26" applyNumberFormat="1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 vertical="center" wrapText="1"/>
    </xf>
    <xf numFmtId="0" fontId="122" fillId="4" borderId="1" xfId="2" applyFont="1" applyFill="1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0" fontId="8" fillId="0" borderId="45" xfId="0" applyFont="1" applyBorder="1"/>
    <xf numFmtId="0" fontId="17" fillId="4" borderId="10" xfId="2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/>
    </xf>
    <xf numFmtId="3" fontId="21" fillId="4" borderId="68" xfId="4" applyNumberFormat="1" applyFont="1" applyFill="1" applyBorder="1" applyProtection="1">
      <protection locked="0"/>
    </xf>
    <xf numFmtId="3" fontId="21" fillId="4" borderId="69" xfId="4" applyNumberFormat="1" applyFont="1" applyFill="1" applyBorder="1" applyProtection="1">
      <protection locked="0"/>
    </xf>
    <xf numFmtId="3" fontId="21" fillId="4" borderId="72" xfId="4" applyNumberFormat="1" applyFont="1" applyFill="1" applyBorder="1" applyProtection="1">
      <protection locked="0"/>
    </xf>
    <xf numFmtId="1" fontId="62" fillId="7" borderId="45" xfId="5" applyNumberFormat="1" applyFont="1" applyFill="1" applyBorder="1"/>
    <xf numFmtId="1" fontId="62" fillId="0" borderId="45" xfId="5" applyNumberFormat="1" applyFont="1" applyFill="1" applyBorder="1"/>
    <xf numFmtId="9" fontId="18" fillId="5" borderId="10" xfId="2" applyNumberFormat="1" applyFont="1" applyFill="1" applyBorder="1" applyAlignment="1">
      <alignment horizontal="left" vertical="center" wrapText="1" indent="2"/>
    </xf>
    <xf numFmtId="1" fontId="62" fillId="7" borderId="78" xfId="5" applyNumberFormat="1" applyFont="1" applyFill="1" applyBorder="1"/>
    <xf numFmtId="0" fontId="62" fillId="7" borderId="45" xfId="5" applyFont="1" applyFill="1" applyBorder="1"/>
    <xf numFmtId="1" fontId="45" fillId="0" borderId="0" xfId="5" applyNumberFormat="1" applyFont="1"/>
    <xf numFmtId="1" fontId="62" fillId="0" borderId="78" xfId="5" applyNumberFormat="1" applyFont="1" applyFill="1" applyBorder="1"/>
    <xf numFmtId="0" fontId="62" fillId="0" borderId="45" xfId="0" applyFont="1" applyFill="1" applyBorder="1"/>
    <xf numFmtId="1" fontId="21" fillId="7" borderId="17" xfId="3" applyNumberFormat="1" applyFont="1" applyFill="1" applyBorder="1" applyProtection="1"/>
    <xf numFmtId="0" fontId="1" fillId="0" borderId="0" xfId="2" applyFont="1"/>
    <xf numFmtId="0" fontId="62" fillId="7" borderId="78" xfId="5" applyFont="1" applyFill="1" applyBorder="1"/>
    <xf numFmtId="1" fontId="65" fillId="7" borderId="55" xfId="5" applyNumberFormat="1" applyFont="1" applyFill="1" applyBorder="1"/>
    <xf numFmtId="1" fontId="28" fillId="7" borderId="0" xfId="0" applyNumberFormat="1" applyFont="1" applyFill="1"/>
    <xf numFmtId="0" fontId="62" fillId="7" borderId="77" xfId="5" applyFont="1" applyFill="1" applyBorder="1"/>
    <xf numFmtId="1" fontId="23" fillId="7" borderId="0" xfId="6" applyNumberFormat="1" applyFont="1" applyFill="1"/>
    <xf numFmtId="0" fontId="65" fillId="7" borderId="0" xfId="5" applyFont="1" applyFill="1"/>
    <xf numFmtId="1" fontId="65" fillId="0" borderId="55" xfId="5" applyNumberFormat="1" applyFont="1" applyFill="1" applyBorder="1"/>
    <xf numFmtId="1" fontId="22" fillId="0" borderId="13" xfId="4" applyNumberFormat="1" applyFont="1" applyFill="1" applyBorder="1" applyProtection="1">
      <protection locked="0"/>
    </xf>
    <xf numFmtId="1" fontId="22" fillId="0" borderId="115" xfId="4" applyNumberFormat="1" applyFont="1" applyFill="1" applyBorder="1" applyProtection="1">
      <protection locked="0"/>
    </xf>
    <xf numFmtId="0" fontId="17" fillId="4" borderId="10" xfId="2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/>
    </xf>
    <xf numFmtId="0" fontId="15" fillId="4" borderId="1" xfId="2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vertical="center"/>
    </xf>
    <xf numFmtId="0" fontId="24" fillId="0" borderId="14" xfId="2" applyFont="1" applyBorder="1"/>
    <xf numFmtId="0" fontId="115" fillId="37" borderId="9" xfId="0" applyFont="1" applyFill="1" applyBorder="1" applyAlignment="1">
      <alignment horizontal="center" vertical="center" wrapText="1"/>
    </xf>
    <xf numFmtId="0" fontId="108" fillId="4" borderId="129" xfId="11" applyFont="1" applyFill="1" applyBorder="1" applyAlignment="1">
      <alignment horizontal="center" vertical="center" wrapText="1"/>
    </xf>
    <xf numFmtId="0" fontId="19" fillId="3" borderId="21" xfId="2" applyFont="1" applyFill="1" applyBorder="1"/>
    <xf numFmtId="0" fontId="115" fillId="37" borderId="44" xfId="0" applyFont="1" applyFill="1" applyBorder="1" applyAlignment="1">
      <alignment horizontal="center" vertical="center" wrapText="1"/>
    </xf>
    <xf numFmtId="0" fontId="73" fillId="16" borderId="58" xfId="0" applyFont="1" applyFill="1" applyBorder="1" applyAlignment="1">
      <alignment horizontal="center" vertical="center" wrapText="1"/>
    </xf>
    <xf numFmtId="0" fontId="65" fillId="25" borderId="53" xfId="5" applyFont="1" applyFill="1" applyBorder="1"/>
    <xf numFmtId="0" fontId="65" fillId="25" borderId="55" xfId="5" applyFont="1" applyFill="1" applyBorder="1"/>
    <xf numFmtId="1" fontId="62" fillId="0" borderId="60" xfId="0" applyNumberFormat="1" applyFont="1" applyBorder="1"/>
    <xf numFmtId="0" fontId="62" fillId="0" borderId="76" xfId="0" applyFont="1" applyBorder="1" applyAlignment="1">
      <alignment horizontal="center"/>
    </xf>
    <xf numFmtId="0" fontId="73" fillId="16" borderId="130" xfId="5" applyFont="1" applyFill="1" applyBorder="1" applyAlignment="1">
      <alignment horizontal="center" vertical="center" wrapText="1"/>
    </xf>
    <xf numFmtId="0" fontId="73" fillId="16" borderId="13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65" fillId="25" borderId="42" xfId="5" applyFont="1" applyFill="1" applyBorder="1"/>
    <xf numFmtId="3" fontId="62" fillId="0" borderId="126" xfId="5" applyNumberFormat="1" applyFont="1" applyBorder="1"/>
    <xf numFmtId="3" fontId="62" fillId="0" borderId="127" xfId="5" applyNumberFormat="1" applyFont="1" applyBorder="1"/>
    <xf numFmtId="0" fontId="62" fillId="0" borderId="127" xfId="5" applyFont="1" applyBorder="1"/>
    <xf numFmtId="1" fontId="62" fillId="0" borderId="127" xfId="5" applyNumberFormat="1" applyFont="1" applyBorder="1"/>
    <xf numFmtId="1" fontId="62" fillId="0" borderId="128" xfId="0" applyNumberFormat="1" applyFont="1" applyBorder="1"/>
    <xf numFmtId="0" fontId="65" fillId="25" borderId="44" xfId="5" applyFont="1" applyFill="1" applyBorder="1"/>
    <xf numFmtId="0" fontId="65" fillId="25" borderId="119" xfId="5" applyFont="1" applyFill="1" applyBorder="1"/>
    <xf numFmtId="3" fontId="62" fillId="0" borderId="124" xfId="5" applyNumberFormat="1" applyFont="1" applyBorder="1"/>
    <xf numFmtId="3" fontId="62" fillId="0" borderId="123" xfId="5" applyNumberFormat="1" applyFont="1" applyBorder="1"/>
    <xf numFmtId="0" fontId="62" fillId="0" borderId="123" xfId="5" applyFont="1" applyBorder="1"/>
    <xf numFmtId="1" fontId="62" fillId="0" borderId="123" xfId="5" applyNumberFormat="1" applyFont="1" applyBorder="1"/>
    <xf numFmtId="1" fontId="62" fillId="0" borderId="123" xfId="5" applyNumberFormat="1" applyFont="1" applyFill="1" applyBorder="1"/>
    <xf numFmtId="1" fontId="62" fillId="0" borderId="125" xfId="0" applyNumberFormat="1" applyFont="1" applyBorder="1"/>
    <xf numFmtId="3" fontId="6" fillId="13" borderId="10" xfId="2" applyNumberFormat="1" applyFont="1" applyFill="1" applyBorder="1" applyAlignment="1">
      <alignment horizontal="center"/>
    </xf>
    <xf numFmtId="1" fontId="6" fillId="13" borderId="12" xfId="2" applyNumberFormat="1" applyFont="1" applyFill="1" applyBorder="1" applyAlignment="1">
      <alignment horizontal="center"/>
    </xf>
    <xf numFmtId="1" fontId="48" fillId="0" borderId="46" xfId="6" applyNumberFormat="1" applyFont="1" applyBorder="1" applyAlignment="1">
      <alignment horizontal="center" vertical="center" wrapText="1"/>
    </xf>
    <xf numFmtId="3" fontId="41" fillId="4" borderId="26" xfId="7" applyNumberFormat="1" applyFont="1" applyFill="1" applyBorder="1" applyAlignment="1">
      <alignment horizontal="right" vertical="center" wrapText="1"/>
    </xf>
    <xf numFmtId="3" fontId="21" fillId="4" borderId="32" xfId="3" applyNumberFormat="1" applyFont="1" applyFill="1" applyBorder="1" applyProtection="1"/>
    <xf numFmtId="3" fontId="21" fillId="4" borderId="29" xfId="3" applyNumberFormat="1" applyFont="1" applyFill="1" applyBorder="1" applyProtection="1"/>
    <xf numFmtId="3" fontId="21" fillId="4" borderId="35" xfId="3" applyNumberFormat="1" applyFont="1" applyFill="1" applyBorder="1" applyProtection="1"/>
    <xf numFmtId="0" fontId="5" fillId="0" borderId="0" xfId="2" applyAlignment="1">
      <alignment horizontal="center"/>
    </xf>
    <xf numFmtId="3" fontId="21" fillId="4" borderId="38" xfId="4" applyNumberFormat="1" applyFont="1" applyFill="1" applyBorder="1" applyAlignment="1" applyProtection="1">
      <alignment horizontal="center"/>
      <protection locked="0"/>
    </xf>
    <xf numFmtId="3" fontId="21" fillId="4" borderId="9" xfId="4" applyNumberFormat="1" applyFont="1" applyFill="1" applyBorder="1" applyAlignment="1" applyProtection="1">
      <alignment horizontal="center"/>
      <protection locked="0"/>
    </xf>
    <xf numFmtId="3" fontId="21" fillId="4" borderId="42" xfId="4" applyNumberFormat="1" applyFont="1" applyFill="1" applyBorder="1" applyAlignment="1" applyProtection="1">
      <alignment horizontal="center"/>
      <protection locked="0"/>
    </xf>
    <xf numFmtId="3" fontId="21" fillId="4" borderId="9" xfId="3" applyNumberFormat="1" applyFont="1" applyFill="1" applyBorder="1" applyAlignment="1" applyProtection="1">
      <alignment horizontal="center"/>
    </xf>
    <xf numFmtId="10" fontId="5" fillId="0" borderId="0" xfId="2" applyNumberFormat="1" applyAlignment="1">
      <alignment horizontal="center"/>
    </xf>
    <xf numFmtId="0" fontId="9" fillId="0" borderId="0" xfId="2" applyFont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10" fillId="2" borderId="5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0" fontId="10" fillId="2" borderId="7" xfId="2" applyFont="1" applyFill="1" applyBorder="1" applyAlignment="1">
      <alignment horizontal="center"/>
    </xf>
    <xf numFmtId="0" fontId="10" fillId="2" borderId="8" xfId="2" applyFont="1" applyFill="1" applyBorder="1" applyAlignment="1">
      <alignment horizontal="center"/>
    </xf>
    <xf numFmtId="0" fontId="68" fillId="0" borderId="7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2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44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76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99" xfId="0" applyFont="1" applyBorder="1" applyAlignment="1">
      <alignment vertical="center" wrapText="1"/>
    </xf>
    <xf numFmtId="0" fontId="28" fillId="0" borderId="100" xfId="0" applyFont="1" applyBorder="1" applyAlignment="1">
      <alignment vertical="center" wrapText="1"/>
    </xf>
    <xf numFmtId="0" fontId="28" fillId="0" borderId="101" xfId="0" applyFont="1" applyBorder="1" applyAlignment="1">
      <alignment vertical="center" wrapText="1"/>
    </xf>
    <xf numFmtId="9" fontId="28" fillId="0" borderId="99" xfId="0" applyNumberFormat="1" applyFont="1" applyBorder="1" applyAlignment="1">
      <alignment horizontal="center" vertical="center" wrapText="1"/>
    </xf>
    <xf numFmtId="9" fontId="28" fillId="0" borderId="100" xfId="0" applyNumberFormat="1" applyFont="1" applyBorder="1" applyAlignment="1">
      <alignment horizontal="center" vertical="center" wrapText="1"/>
    </xf>
    <xf numFmtId="9" fontId="28" fillId="0" borderId="101" xfId="0" applyNumberFormat="1" applyFont="1" applyBorder="1" applyAlignment="1">
      <alignment horizontal="center" vertical="center" wrapText="1"/>
    </xf>
    <xf numFmtId="0" fontId="28" fillId="0" borderId="99" xfId="0" applyFont="1" applyBorder="1" applyAlignment="1">
      <alignment horizontal="center" vertical="center" wrapText="1"/>
    </xf>
    <xf numFmtId="0" fontId="28" fillId="0" borderId="100" xfId="0" applyFont="1" applyBorder="1" applyAlignment="1">
      <alignment horizontal="center" vertical="center" wrapText="1"/>
    </xf>
    <xf numFmtId="0" fontId="28" fillId="0" borderId="101" xfId="0" applyFont="1" applyBorder="1" applyAlignment="1">
      <alignment horizontal="center" vertical="center" wrapText="1"/>
    </xf>
    <xf numFmtId="0" fontId="61" fillId="0" borderId="103" xfId="0" applyFont="1" applyBorder="1" applyAlignment="1">
      <alignment horizontal="center" vertical="center" wrapText="1"/>
    </xf>
    <xf numFmtId="0" fontId="61" fillId="0" borderId="104" xfId="0" applyFont="1" applyBorder="1" applyAlignment="1">
      <alignment horizontal="center" vertical="center" wrapText="1"/>
    </xf>
    <xf numFmtId="0" fontId="61" fillId="0" borderId="105" xfId="0" applyFont="1" applyBorder="1" applyAlignment="1">
      <alignment horizontal="center" vertical="center" wrapText="1"/>
    </xf>
    <xf numFmtId="0" fontId="76" fillId="0" borderId="7" xfId="0" applyFont="1" applyBorder="1" applyAlignment="1">
      <alignment horizontal="center" vertical="center"/>
    </xf>
    <xf numFmtId="0" fontId="28" fillId="22" borderId="0" xfId="0" applyFont="1" applyFill="1" applyAlignment="1">
      <alignment horizontal="center"/>
    </xf>
    <xf numFmtId="0" fontId="28" fillId="7" borderId="0" xfId="0" applyFont="1" applyFill="1" applyAlignment="1">
      <alignment horizontal="center"/>
    </xf>
    <xf numFmtId="10" fontId="28" fillId="23" borderId="10" xfId="2" applyNumberFormat="1" applyFont="1" applyFill="1" applyBorder="1" applyAlignment="1">
      <alignment horizontal="center" vertical="center" wrapText="1"/>
    </xf>
    <xf numFmtId="0" fontId="0" fillId="23" borderId="114" xfId="0" applyFont="1" applyFill="1" applyBorder="1" applyAlignment="1">
      <alignment horizontal="center" vertical="center" wrapText="1"/>
    </xf>
    <xf numFmtId="0" fontId="121" fillId="37" borderId="114" xfId="0" applyFont="1" applyFill="1" applyBorder="1" applyAlignment="1">
      <alignment horizontal="center" vertical="center" wrapText="1"/>
    </xf>
    <xf numFmtId="0" fontId="121" fillId="37" borderId="115" xfId="0" applyFont="1" applyFill="1" applyBorder="1" applyAlignment="1">
      <alignment horizontal="center" vertical="center" wrapText="1"/>
    </xf>
    <xf numFmtId="10" fontId="28" fillId="23" borderId="54" xfId="2" applyNumberFormat="1" applyFont="1" applyFill="1" applyBorder="1" applyAlignment="1">
      <alignment horizontal="center" vertical="center" wrapText="1"/>
    </xf>
    <xf numFmtId="0" fontId="28" fillId="23" borderId="75" xfId="0" applyFont="1" applyFill="1" applyBorder="1" applyAlignment="1">
      <alignment horizontal="center" vertical="center" wrapText="1"/>
    </xf>
    <xf numFmtId="0" fontId="28" fillId="23" borderId="54" xfId="0" applyFont="1" applyFill="1" applyBorder="1" applyAlignment="1">
      <alignment horizontal="center" vertical="center" wrapText="1"/>
    </xf>
    <xf numFmtId="2" fontId="28" fillId="23" borderId="54" xfId="8" applyNumberFormat="1" applyFont="1" applyFill="1" applyBorder="1" applyAlignment="1">
      <alignment horizontal="center" vertical="center" wrapText="1"/>
    </xf>
    <xf numFmtId="10" fontId="28" fillId="23" borderId="6" xfId="2" applyNumberFormat="1" applyFont="1" applyFill="1" applyBorder="1" applyAlignment="1">
      <alignment horizontal="center" vertical="center" wrapText="1"/>
    </xf>
    <xf numFmtId="10" fontId="28" fillId="23" borderId="7" xfId="2" applyNumberFormat="1" applyFont="1" applyFill="1" applyBorder="1" applyAlignment="1">
      <alignment horizontal="center" vertical="center" wrapText="1"/>
    </xf>
    <xf numFmtId="0" fontId="28" fillId="23" borderId="75" xfId="0" applyFont="1" applyFill="1" applyBorder="1" applyAlignment="1">
      <alignment horizontal="center" wrapText="1"/>
    </xf>
    <xf numFmtId="2" fontId="28" fillId="23" borderId="54" xfId="2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2" applyFont="1" applyAlignment="1">
      <alignment horizontal="left"/>
    </xf>
    <xf numFmtId="0" fontId="13" fillId="3" borderId="1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10" fontId="15" fillId="3" borderId="1" xfId="2" applyNumberFormat="1" applyFont="1" applyFill="1" applyBorder="1" applyAlignment="1">
      <alignment horizontal="center" vertical="center" wrapText="1"/>
    </xf>
    <xf numFmtId="10" fontId="5" fillId="3" borderId="6" xfId="2" applyNumberForma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/>
    </xf>
    <xf numFmtId="0" fontId="15" fillId="5" borderId="11" xfId="2" applyFont="1" applyFill="1" applyBorder="1" applyAlignment="1">
      <alignment horizontal="center" vertical="center"/>
    </xf>
    <xf numFmtId="0" fontId="15" fillId="6" borderId="10" xfId="2" applyFont="1" applyFill="1" applyBorder="1" applyAlignment="1">
      <alignment horizontal="center" vertical="center" wrapText="1"/>
    </xf>
    <xf numFmtId="0" fontId="15" fillId="6" borderId="12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2" fillId="0" borderId="10" xfId="2" applyFont="1" applyBorder="1" applyAlignment="1">
      <alignment horizontal="left"/>
    </xf>
    <xf numFmtId="0" fontId="12" fillId="0" borderId="11" xfId="2" applyFont="1" applyBorder="1" applyAlignment="1">
      <alignment horizontal="left"/>
    </xf>
    <xf numFmtId="0" fontId="12" fillId="0" borderId="12" xfId="2" applyFont="1" applyBorder="1" applyAlignment="1">
      <alignment horizontal="left"/>
    </xf>
    <xf numFmtId="0" fontId="13" fillId="3" borderId="2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10" fontId="15" fillId="8" borderId="1" xfId="2" applyNumberFormat="1" applyFont="1" applyFill="1" applyBorder="1" applyAlignment="1">
      <alignment horizontal="center" vertical="center" wrapText="1"/>
    </xf>
    <xf numFmtId="10" fontId="5" fillId="8" borderId="6" xfId="2" applyNumberFormat="1" applyFill="1" applyBorder="1" applyAlignment="1">
      <alignment horizontal="center" vertical="center" wrapText="1"/>
    </xf>
    <xf numFmtId="0" fontId="25" fillId="9" borderId="10" xfId="2" applyFont="1" applyFill="1" applyBorder="1" applyAlignment="1">
      <alignment horizontal="center" vertical="center"/>
    </xf>
    <xf numFmtId="0" fontId="25" fillId="9" borderId="12" xfId="2" applyFont="1" applyFill="1" applyBorder="1" applyAlignment="1">
      <alignment horizontal="center" vertical="center"/>
    </xf>
    <xf numFmtId="0" fontId="25" fillId="6" borderId="11" xfId="2" applyFont="1" applyFill="1" applyBorder="1" applyAlignment="1">
      <alignment horizontal="center" vertical="center" wrapText="1"/>
    </xf>
    <xf numFmtId="0" fontId="25" fillId="6" borderId="12" xfId="2" applyFont="1" applyFill="1" applyBorder="1" applyAlignment="1">
      <alignment horizontal="center" vertical="center"/>
    </xf>
    <xf numFmtId="0" fontId="15" fillId="4" borderId="10" xfId="2" applyFont="1" applyFill="1" applyBorder="1" applyAlignment="1">
      <alignment horizontal="center"/>
    </xf>
    <xf numFmtId="0" fontId="15" fillId="4" borderId="11" xfId="2" applyFont="1" applyFill="1" applyBorder="1" applyAlignment="1">
      <alignment horizontal="center"/>
    </xf>
    <xf numFmtId="0" fontId="15" fillId="4" borderId="12" xfId="2" applyFont="1" applyFill="1" applyBorder="1" applyAlignment="1">
      <alignment horizontal="center"/>
    </xf>
    <xf numFmtId="0" fontId="108" fillId="0" borderId="42" xfId="11" applyFont="1" applyBorder="1" applyAlignment="1">
      <alignment horizontal="center" vertical="center" wrapText="1"/>
    </xf>
    <xf numFmtId="0" fontId="108" fillId="0" borderId="44" xfId="11" applyFont="1" applyBorder="1" applyAlignment="1">
      <alignment horizontal="center" vertical="center" wrapText="1"/>
    </xf>
    <xf numFmtId="10" fontId="5" fillId="3" borderId="4" xfId="2" applyNumberFormat="1" applyFill="1" applyBorder="1" applyAlignment="1">
      <alignment horizontal="center" vertical="center" wrapText="1"/>
    </xf>
    <xf numFmtId="0" fontId="15" fillId="5" borderId="12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/>
    </xf>
    <xf numFmtId="0" fontId="15" fillId="4" borderId="2" xfId="2" applyFont="1" applyFill="1" applyBorder="1" applyAlignment="1">
      <alignment horizontal="center"/>
    </xf>
    <xf numFmtId="0" fontId="36" fillId="3" borderId="2" xfId="2" applyFont="1" applyFill="1" applyBorder="1" applyAlignment="1">
      <alignment horizontal="center" vertical="center" wrapText="1"/>
    </xf>
    <xf numFmtId="0" fontId="36" fillId="3" borderId="3" xfId="2" applyFont="1" applyFill="1" applyBorder="1" applyAlignment="1">
      <alignment horizontal="center" vertical="center" wrapText="1"/>
    </xf>
    <xf numFmtId="0" fontId="36" fillId="3" borderId="6" xfId="2" applyFont="1" applyFill="1" applyBorder="1" applyAlignment="1">
      <alignment horizontal="center" vertical="center" wrapText="1"/>
    </xf>
    <xf numFmtId="0" fontId="36" fillId="3" borderId="7" xfId="2" applyFont="1" applyFill="1" applyBorder="1" applyAlignment="1">
      <alignment horizontal="center" vertical="center" wrapText="1"/>
    </xf>
    <xf numFmtId="0" fontId="36" fillId="3" borderId="8" xfId="2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5" fillId="4" borderId="3" xfId="2" applyFont="1" applyFill="1" applyBorder="1" applyAlignment="1">
      <alignment horizontal="center"/>
    </xf>
    <xf numFmtId="0" fontId="39" fillId="0" borderId="48" xfId="2" applyFont="1" applyBorder="1" applyAlignment="1">
      <alignment horizontal="center" wrapText="1"/>
    </xf>
    <xf numFmtId="0" fontId="15" fillId="9" borderId="10" xfId="2" applyFont="1" applyFill="1" applyBorder="1" applyAlignment="1">
      <alignment horizontal="center" vertical="center"/>
    </xf>
    <xf numFmtId="0" fontId="15" fillId="9" borderId="11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wrapText="1"/>
    </xf>
    <xf numFmtId="0" fontId="17" fillId="4" borderId="2" xfId="2" applyFont="1" applyFill="1" applyBorder="1" applyAlignment="1">
      <alignment horizontal="center" vertical="center" wrapText="1"/>
    </xf>
    <xf numFmtId="0" fontId="17" fillId="4" borderId="70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47" fillId="4" borderId="11" xfId="2" applyFont="1" applyFill="1" applyBorder="1" applyAlignment="1">
      <alignment horizontal="center" vertical="center" wrapText="1"/>
    </xf>
    <xf numFmtId="0" fontId="47" fillId="4" borderId="12" xfId="2" applyFont="1" applyFill="1" applyBorder="1" applyAlignment="1">
      <alignment horizontal="center" vertical="center" wrapText="1"/>
    </xf>
    <xf numFmtId="0" fontId="15" fillId="6" borderId="12" xfId="2" applyFont="1" applyFill="1" applyBorder="1" applyAlignment="1">
      <alignment horizontal="center" vertical="center" wrapText="1"/>
    </xf>
    <xf numFmtId="1" fontId="37" fillId="0" borderId="59" xfId="6" applyNumberFormat="1" applyFont="1" applyBorder="1" applyAlignment="1">
      <alignment horizontal="center"/>
    </xf>
    <xf numFmtId="1" fontId="37" fillId="0" borderId="67" xfId="6" applyNumberFormat="1" applyFont="1" applyBorder="1" applyAlignment="1">
      <alignment horizontal="center"/>
    </xf>
    <xf numFmtId="1" fontId="20" fillId="17" borderId="45" xfId="7" applyNumberFormat="1" applyFill="1" applyBorder="1" applyAlignment="1">
      <alignment horizont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center" vertical="center" wrapText="1"/>
    </xf>
    <xf numFmtId="0" fontId="13" fillId="3" borderId="1" xfId="6" applyFont="1" applyFill="1" applyBorder="1" applyAlignment="1">
      <alignment horizontal="center" vertical="center" wrapText="1"/>
    </xf>
    <xf numFmtId="0" fontId="13" fillId="3" borderId="2" xfId="6" applyFont="1" applyFill="1" applyBorder="1" applyAlignment="1">
      <alignment horizontal="center" vertical="center" wrapText="1"/>
    </xf>
    <xf numFmtId="0" fontId="13" fillId="3" borderId="3" xfId="6" applyFont="1" applyFill="1" applyBorder="1" applyAlignment="1">
      <alignment horizontal="center" vertical="center" wrapText="1"/>
    </xf>
    <xf numFmtId="0" fontId="13" fillId="3" borderId="6" xfId="6" applyFont="1" applyFill="1" applyBorder="1" applyAlignment="1">
      <alignment horizontal="center" vertical="center" wrapText="1"/>
    </xf>
    <xf numFmtId="0" fontId="13" fillId="3" borderId="7" xfId="6" applyFont="1" applyFill="1" applyBorder="1" applyAlignment="1">
      <alignment horizontal="center" vertical="center" wrapText="1"/>
    </xf>
    <xf numFmtId="0" fontId="13" fillId="3" borderId="8" xfId="6" applyFont="1" applyFill="1" applyBorder="1" applyAlignment="1">
      <alignment horizontal="center" vertical="center" wrapText="1"/>
    </xf>
    <xf numFmtId="10" fontId="15" fillId="3" borderId="1" xfId="6" applyNumberFormat="1" applyFont="1" applyFill="1" applyBorder="1" applyAlignment="1">
      <alignment horizontal="center" vertical="center" wrapText="1"/>
    </xf>
    <xf numFmtId="10" fontId="20" fillId="3" borderId="6" xfId="6" applyNumberFormat="1" applyFill="1" applyBorder="1" applyAlignment="1">
      <alignment horizontal="center" vertical="center" wrapText="1"/>
    </xf>
    <xf numFmtId="0" fontId="15" fillId="5" borderId="10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/>
    </xf>
    <xf numFmtId="0" fontId="15" fillId="6" borderId="10" xfId="6" applyFont="1" applyFill="1" applyBorder="1" applyAlignment="1">
      <alignment horizontal="center" vertical="center" wrapText="1"/>
    </xf>
    <xf numFmtId="0" fontId="15" fillId="6" borderId="12" xfId="6" applyFont="1" applyFill="1" applyBorder="1" applyAlignment="1">
      <alignment horizontal="center" vertical="center"/>
    </xf>
    <xf numFmtId="0" fontId="17" fillId="4" borderId="10" xfId="7" applyFont="1" applyFill="1" applyBorder="1" applyAlignment="1">
      <alignment horizontal="center" vertical="center" wrapText="1"/>
    </xf>
    <xf numFmtId="0" fontId="17" fillId="4" borderId="11" xfId="7" applyFont="1" applyFill="1" applyBorder="1" applyAlignment="1">
      <alignment horizontal="center" vertical="center" wrapText="1"/>
    </xf>
    <xf numFmtId="0" fontId="17" fillId="4" borderId="12" xfId="7" applyFont="1" applyFill="1" applyBorder="1" applyAlignment="1">
      <alignment horizontal="center" vertical="center" wrapText="1"/>
    </xf>
    <xf numFmtId="0" fontId="50" fillId="4" borderId="10" xfId="7" applyFont="1" applyFill="1" applyBorder="1" applyAlignment="1">
      <alignment horizontal="center" vertical="center" wrapText="1"/>
    </xf>
    <xf numFmtId="0" fontId="50" fillId="4" borderId="11" xfId="7" applyFont="1" applyFill="1" applyBorder="1" applyAlignment="1">
      <alignment horizontal="center" vertical="center" wrapText="1"/>
    </xf>
    <xf numFmtId="0" fontId="50" fillId="4" borderId="12" xfId="7" applyFont="1" applyFill="1" applyBorder="1" applyAlignment="1">
      <alignment horizontal="center" vertical="center" wrapText="1"/>
    </xf>
    <xf numFmtId="0" fontId="13" fillId="3" borderId="50" xfId="6" applyFont="1" applyFill="1" applyBorder="1" applyAlignment="1">
      <alignment horizontal="center" vertical="center" wrapText="1"/>
    </xf>
    <xf numFmtId="0" fontId="13" fillId="3" borderId="52" xfId="6" applyFont="1" applyFill="1" applyBorder="1" applyAlignment="1">
      <alignment horizontal="center" vertical="center" wrapText="1"/>
    </xf>
    <xf numFmtId="0" fontId="13" fillId="3" borderId="51" xfId="6" applyFont="1" applyFill="1" applyBorder="1" applyAlignment="1">
      <alignment horizontal="center" vertical="center" wrapText="1"/>
    </xf>
    <xf numFmtId="0" fontId="13" fillId="3" borderId="58" xfId="6" applyFont="1" applyFill="1" applyBorder="1" applyAlignment="1">
      <alignment horizontal="center" vertical="center" wrapText="1"/>
    </xf>
    <xf numFmtId="0" fontId="13" fillId="3" borderId="59" xfId="6" applyFont="1" applyFill="1" applyBorder="1" applyAlignment="1">
      <alignment horizontal="center" vertical="center" wrapText="1"/>
    </xf>
    <xf numFmtId="0" fontId="13" fillId="3" borderId="67" xfId="6" applyFont="1" applyFill="1" applyBorder="1" applyAlignment="1">
      <alignment horizontal="center" vertical="center" wrapText="1"/>
    </xf>
    <xf numFmtId="10" fontId="15" fillId="3" borderId="4" xfId="6" applyNumberFormat="1" applyFont="1" applyFill="1" applyBorder="1" applyAlignment="1">
      <alignment horizontal="center" vertical="center" wrapText="1"/>
    </xf>
    <xf numFmtId="0" fontId="15" fillId="5" borderId="6" xfId="6" applyFont="1" applyFill="1" applyBorder="1" applyAlignment="1">
      <alignment horizontal="center" vertical="center"/>
    </xf>
    <xf numFmtId="0" fontId="15" fillId="5" borderId="7" xfId="6" applyFont="1" applyFill="1" applyBorder="1" applyAlignment="1">
      <alignment horizontal="center" vertical="center"/>
    </xf>
    <xf numFmtId="0" fontId="15" fillId="6" borderId="6" xfId="6" applyFont="1" applyFill="1" applyBorder="1" applyAlignment="1">
      <alignment horizontal="center" vertical="center" wrapText="1"/>
    </xf>
    <xf numFmtId="0" fontId="15" fillId="6" borderId="8" xfId="6" applyFont="1" applyFill="1" applyBorder="1" applyAlignment="1">
      <alignment horizontal="center" vertical="center"/>
    </xf>
    <xf numFmtId="0" fontId="50" fillId="4" borderId="108" xfId="7" applyFont="1" applyFill="1" applyBorder="1" applyAlignment="1">
      <alignment horizontal="center" vertical="center" wrapText="1"/>
    </xf>
    <xf numFmtId="0" fontId="50" fillId="4" borderId="109" xfId="7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10" fontId="5" fillId="3" borderId="7" xfId="2" applyNumberForma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vertical="center" wrapText="1"/>
    </xf>
    <xf numFmtId="0" fontId="15" fillId="6" borderId="11" xfId="2" applyFont="1" applyFill="1" applyBorder="1" applyAlignment="1">
      <alignment horizontal="center" vertical="center" wrapText="1"/>
    </xf>
    <xf numFmtId="10" fontId="62" fillId="23" borderId="54" xfId="2" applyNumberFormat="1" applyFont="1" applyFill="1" applyBorder="1" applyAlignment="1">
      <alignment horizontal="center" vertical="center" wrapText="1"/>
    </xf>
    <xf numFmtId="0" fontId="62" fillId="23" borderId="74" xfId="0" applyFont="1" applyFill="1" applyBorder="1" applyAlignment="1">
      <alignment horizontal="center" vertical="center" wrapText="1"/>
    </xf>
    <xf numFmtId="0" fontId="55" fillId="19" borderId="7" xfId="8" applyFont="1" applyFill="1" applyBorder="1" applyAlignment="1">
      <alignment horizontal="center"/>
    </xf>
    <xf numFmtId="0" fontId="57" fillId="5" borderId="68" xfId="8" applyFont="1" applyFill="1" applyBorder="1" applyAlignment="1">
      <alignment horizontal="center" vertical="center" wrapText="1"/>
    </xf>
    <xf numFmtId="0" fontId="16" fillId="0" borderId="69" xfId="8" applyFont="1" applyBorder="1" applyAlignment="1">
      <alignment wrapText="1"/>
    </xf>
    <xf numFmtId="0" fontId="16" fillId="0" borderId="72" xfId="8" applyFont="1" applyBorder="1" applyAlignment="1">
      <alignment wrapText="1"/>
    </xf>
    <xf numFmtId="0" fontId="58" fillId="5" borderId="11" xfId="8" applyFont="1" applyFill="1" applyBorder="1" applyAlignment="1">
      <alignment horizontal="center" vertical="center" wrapText="1"/>
    </xf>
    <xf numFmtId="10" fontId="59" fillId="5" borderId="68" xfId="8" applyNumberFormat="1" applyFont="1" applyFill="1" applyBorder="1" applyAlignment="1">
      <alignment horizontal="center" vertical="center" wrapText="1"/>
    </xf>
    <xf numFmtId="10" fontId="16" fillId="5" borderId="69" xfId="0" applyNumberFormat="1" applyFont="1" applyFill="1" applyBorder="1" applyAlignment="1">
      <alignment horizontal="center" vertical="center" wrapText="1"/>
    </xf>
    <xf numFmtId="10" fontId="16" fillId="5" borderId="72" xfId="0" applyNumberFormat="1" applyFont="1" applyFill="1" applyBorder="1" applyAlignment="1">
      <alignment horizontal="center" vertical="center" wrapText="1"/>
    </xf>
    <xf numFmtId="10" fontId="28" fillId="23" borderId="71" xfId="2" applyNumberFormat="1" applyFont="1" applyFill="1" applyBorder="1" applyAlignment="1">
      <alignment horizontal="center" vertical="center" wrapText="1"/>
    </xf>
    <xf numFmtId="0" fontId="0" fillId="23" borderId="73" xfId="0" applyFill="1" applyBorder="1" applyAlignment="1">
      <alignment horizontal="center" wrapText="1"/>
    </xf>
    <xf numFmtId="10" fontId="62" fillId="23" borderId="71" xfId="2" applyNumberFormat="1" applyFont="1" applyFill="1" applyBorder="1" applyAlignment="1">
      <alignment horizontal="center" vertical="center" wrapText="1"/>
    </xf>
    <xf numFmtId="0" fontId="62" fillId="23" borderId="73" xfId="0" applyFont="1" applyFill="1" applyBorder="1" applyAlignment="1">
      <alignment horizontal="center" wrapText="1"/>
    </xf>
    <xf numFmtId="0" fontId="62" fillId="23" borderId="74" xfId="0" applyFont="1" applyFill="1" applyBorder="1" applyAlignment="1">
      <alignment horizontal="center" wrapText="1"/>
    </xf>
    <xf numFmtId="2" fontId="62" fillId="23" borderId="54" xfId="2" applyNumberFormat="1" applyFont="1" applyFill="1" applyBorder="1" applyAlignment="1">
      <alignment horizontal="center" vertical="center" wrapText="1"/>
    </xf>
    <xf numFmtId="2" fontId="62" fillId="23" borderId="54" xfId="8" applyNumberFormat="1" applyFont="1" applyFill="1" applyBorder="1" applyAlignment="1">
      <alignment horizontal="center" vertical="center" wrapText="1"/>
    </xf>
    <xf numFmtId="10" fontId="62" fillId="23" borderId="53" xfId="2" applyNumberFormat="1" applyFont="1" applyFill="1" applyBorder="1" applyAlignment="1">
      <alignment horizontal="center" vertical="center" wrapText="1"/>
    </xf>
    <xf numFmtId="0" fontId="63" fillId="23" borderId="75" xfId="0" applyFont="1" applyFill="1" applyBorder="1" applyAlignment="1">
      <alignment horizontal="center" vertical="center" wrapText="1"/>
    </xf>
    <xf numFmtId="0" fontId="62" fillId="23" borderId="54" xfId="0" applyFont="1" applyFill="1" applyBorder="1" applyAlignment="1">
      <alignment horizontal="center" vertical="center" wrapText="1"/>
    </xf>
    <xf numFmtId="0" fontId="63" fillId="23" borderId="74" xfId="0" applyFont="1" applyFill="1" applyBorder="1" applyAlignment="1">
      <alignment horizontal="center" vertical="center" wrapText="1"/>
    </xf>
    <xf numFmtId="0" fontId="58" fillId="5" borderId="12" xfId="8" applyFont="1" applyFill="1" applyBorder="1" applyAlignment="1">
      <alignment horizontal="center" vertical="center" wrapText="1"/>
    </xf>
    <xf numFmtId="0" fontId="63" fillId="23" borderId="73" xfId="0" applyFont="1" applyFill="1" applyBorder="1" applyAlignment="1">
      <alignment horizontal="center" wrapText="1"/>
    </xf>
    <xf numFmtId="0" fontId="63" fillId="23" borderId="74" xfId="0" applyFont="1" applyFill="1" applyBorder="1" applyAlignment="1">
      <alignment horizontal="center" wrapText="1"/>
    </xf>
    <xf numFmtId="0" fontId="63" fillId="23" borderId="54" xfId="0" applyFont="1" applyFill="1" applyBorder="1" applyAlignment="1">
      <alignment horizontal="center" vertical="center" wrapText="1"/>
    </xf>
    <xf numFmtId="0" fontId="62" fillId="25" borderId="45" xfId="5" applyFont="1" applyFill="1" applyBorder="1" applyAlignment="1">
      <alignment horizontal="center"/>
    </xf>
    <xf numFmtId="0" fontId="68" fillId="23" borderId="60" xfId="5" applyFont="1" applyFill="1" applyBorder="1" applyAlignment="1">
      <alignment horizontal="center" vertical="center" wrapText="1"/>
    </xf>
    <xf numFmtId="0" fontId="68" fillId="23" borderId="61" xfId="5" applyFont="1" applyFill="1" applyBorder="1" applyAlignment="1">
      <alignment horizontal="center" vertical="center" wrapText="1"/>
    </xf>
    <xf numFmtId="0" fontId="14" fillId="23" borderId="76" xfId="5" applyFont="1" applyFill="1" applyBorder="1" applyAlignment="1">
      <alignment horizontal="center" vertical="center" wrapText="1"/>
    </xf>
    <xf numFmtId="0" fontId="68" fillId="7" borderId="60" xfId="5" applyFont="1" applyFill="1" applyBorder="1" applyAlignment="1">
      <alignment horizontal="center" vertical="center" wrapText="1"/>
    </xf>
    <xf numFmtId="0" fontId="68" fillId="7" borderId="61" xfId="5" applyFont="1" applyFill="1" applyBorder="1" applyAlignment="1">
      <alignment horizontal="center" vertical="center" wrapText="1"/>
    </xf>
    <xf numFmtId="0" fontId="14" fillId="7" borderId="76" xfId="5" applyFont="1" applyFill="1" applyBorder="1" applyAlignment="1">
      <alignment horizontal="center" vertical="center" wrapText="1"/>
    </xf>
    <xf numFmtId="0" fontId="50" fillId="23" borderId="60" xfId="5" applyFont="1" applyFill="1" applyBorder="1" applyAlignment="1">
      <alignment horizontal="center" vertical="center" wrapText="1"/>
    </xf>
    <xf numFmtId="0" fontId="50" fillId="23" borderId="61" xfId="5" applyFont="1" applyFill="1" applyBorder="1" applyAlignment="1">
      <alignment horizontal="center" vertical="center" wrapText="1"/>
    </xf>
    <xf numFmtId="0" fontId="75" fillId="23" borderId="76" xfId="5" applyFont="1" applyFill="1" applyBorder="1" applyAlignment="1">
      <alignment horizontal="center" vertical="center" wrapText="1"/>
    </xf>
    <xf numFmtId="0" fontId="76" fillId="28" borderId="45" xfId="0" applyFont="1" applyFill="1" applyBorder="1" applyAlignment="1">
      <alignment horizontal="center" vertical="center" wrapText="1"/>
    </xf>
    <xf numFmtId="0" fontId="76" fillId="23" borderId="60" xfId="5" applyFont="1" applyFill="1" applyBorder="1" applyAlignment="1">
      <alignment horizontal="center" vertical="center" wrapText="1"/>
    </xf>
    <xf numFmtId="0" fontId="76" fillId="23" borderId="61" xfId="5" applyFont="1" applyFill="1" applyBorder="1" applyAlignment="1">
      <alignment horizontal="center" vertical="center" wrapText="1"/>
    </xf>
    <xf numFmtId="0" fontId="76" fillId="23" borderId="76" xfId="5" applyFont="1" applyFill="1" applyBorder="1" applyAlignment="1">
      <alignment horizontal="center" vertical="center" wrapText="1"/>
    </xf>
    <xf numFmtId="0" fontId="22" fillId="23" borderId="45" xfId="0" applyFont="1" applyFill="1" applyBorder="1" applyAlignment="1">
      <alignment horizontal="center" wrapText="1"/>
    </xf>
    <xf numFmtId="0" fontId="79" fillId="16" borderId="10" xfId="5" applyFont="1" applyFill="1" applyBorder="1" applyAlignment="1">
      <alignment horizontal="center" vertical="center" wrapText="1"/>
    </xf>
    <xf numFmtId="0" fontId="79" fillId="16" borderId="11" xfId="5" applyFont="1" applyFill="1" applyBorder="1" applyAlignment="1">
      <alignment horizontal="center" vertical="center" wrapText="1"/>
    </xf>
    <xf numFmtId="0" fontId="79" fillId="16" borderId="12" xfId="5" applyFont="1" applyFill="1" applyBorder="1" applyAlignment="1">
      <alignment horizontal="center" vertical="center" wrapText="1"/>
    </xf>
    <xf numFmtId="0" fontId="79" fillId="7" borderId="76" xfId="5" applyFont="1" applyFill="1" applyBorder="1" applyAlignment="1">
      <alignment horizontal="center" vertical="center" wrapText="1"/>
    </xf>
    <xf numFmtId="0" fontId="79" fillId="7" borderId="45" xfId="5" applyFont="1" applyFill="1" applyBorder="1" applyAlignment="1">
      <alignment horizontal="center" vertical="center" wrapText="1"/>
    </xf>
    <xf numFmtId="0" fontId="79" fillId="7" borderId="60" xfId="5" applyFont="1" applyFill="1" applyBorder="1" applyAlignment="1">
      <alignment horizontal="center" vertical="center" wrapText="1"/>
    </xf>
    <xf numFmtId="0" fontId="79" fillId="38" borderId="0" xfId="5" applyFont="1" applyFill="1" applyBorder="1" applyAlignment="1">
      <alignment horizontal="center" vertical="center" wrapText="1"/>
    </xf>
    <xf numFmtId="0" fontId="79" fillId="38" borderId="10" xfId="5" applyFont="1" applyFill="1" applyBorder="1" applyAlignment="1">
      <alignment horizontal="center" vertical="center" wrapText="1"/>
    </xf>
    <xf numFmtId="0" fontId="79" fillId="38" borderId="11" xfId="5" applyFont="1" applyFill="1" applyBorder="1" applyAlignment="1">
      <alignment horizontal="center" vertical="center" wrapText="1"/>
    </xf>
    <xf numFmtId="0" fontId="79" fillId="38" borderId="12" xfId="5" applyFont="1" applyFill="1" applyBorder="1" applyAlignment="1">
      <alignment horizontal="center" vertical="center" wrapText="1"/>
    </xf>
    <xf numFmtId="0" fontId="81" fillId="29" borderId="83" xfId="10" applyFont="1" applyFill="1" applyBorder="1" applyAlignment="1">
      <alignment horizontal="center" vertical="center" wrapText="1"/>
    </xf>
    <xf numFmtId="0" fontId="81" fillId="29" borderId="82" xfId="10" applyFont="1" applyFill="1" applyBorder="1" applyAlignment="1">
      <alignment horizontal="center" vertical="center" wrapText="1"/>
    </xf>
    <xf numFmtId="0" fontId="81" fillId="29" borderId="91" xfId="10" applyFont="1" applyFill="1" applyBorder="1" applyAlignment="1">
      <alignment horizontal="center" vertical="center" wrapText="1"/>
    </xf>
    <xf numFmtId="0" fontId="81" fillId="29" borderId="84" xfId="10" applyFont="1" applyFill="1" applyBorder="1" applyAlignment="1">
      <alignment horizontal="center" vertical="center"/>
    </xf>
    <xf numFmtId="0" fontId="81" fillId="29" borderId="85" xfId="10" applyFont="1" applyFill="1" applyBorder="1" applyAlignment="1">
      <alignment horizontal="center" vertical="center"/>
    </xf>
    <xf numFmtId="0" fontId="81" fillId="29" borderId="86" xfId="10" applyFont="1" applyFill="1" applyBorder="1" applyAlignment="1">
      <alignment horizontal="center" vertical="center"/>
    </xf>
    <xf numFmtId="0" fontId="81" fillId="29" borderId="87" xfId="10" applyFont="1" applyFill="1" applyBorder="1" applyAlignment="1">
      <alignment horizontal="center" vertical="center" wrapText="1"/>
    </xf>
    <xf numFmtId="0" fontId="81" fillId="29" borderId="88" xfId="10" applyFont="1" applyFill="1" applyBorder="1" applyAlignment="1">
      <alignment horizontal="center" vertical="center" wrapText="1"/>
    </xf>
    <xf numFmtId="0" fontId="81" fillId="29" borderId="89" xfId="10" applyFont="1" applyFill="1" applyBorder="1" applyAlignment="1">
      <alignment horizontal="center" vertical="center" wrapText="1"/>
    </xf>
    <xf numFmtId="0" fontId="6" fillId="36" borderId="45" xfId="12" applyFont="1" applyFill="1" applyBorder="1" applyAlignment="1">
      <alignment horizontal="center" vertical="center" wrapText="1"/>
    </xf>
    <xf numFmtId="0" fontId="6" fillId="35" borderId="45" xfId="12" applyFont="1" applyFill="1" applyBorder="1" applyAlignment="1">
      <alignment horizontal="center" vertical="center" textRotation="90" wrapText="1"/>
    </xf>
    <xf numFmtId="0" fontId="6" fillId="36" borderId="45" xfId="12" applyFont="1" applyFill="1" applyBorder="1" applyAlignment="1">
      <alignment horizontal="center" vertical="center" textRotation="90" wrapText="1"/>
    </xf>
    <xf numFmtId="0" fontId="96" fillId="0" borderId="45" xfId="12" applyFont="1" applyBorder="1" applyAlignment="1">
      <alignment horizontal="center" vertical="center" wrapText="1"/>
    </xf>
    <xf numFmtId="0" fontId="6" fillId="35" borderId="45" xfId="12" applyFont="1" applyFill="1" applyBorder="1" applyAlignment="1">
      <alignment horizontal="center" vertical="center" wrapText="1"/>
    </xf>
    <xf numFmtId="0" fontId="6" fillId="29" borderId="45" xfId="12" applyFont="1" applyFill="1" applyBorder="1" applyAlignment="1">
      <alignment horizontal="center" vertical="center" wrapText="1"/>
    </xf>
    <xf numFmtId="0" fontId="6" fillId="29" borderId="45" xfId="12" applyFont="1" applyFill="1" applyBorder="1" applyAlignment="1">
      <alignment horizontal="center" vertical="center" textRotation="90" wrapText="1"/>
    </xf>
  </cellXfs>
  <cellStyles count="27">
    <cellStyle name="Estilo 1" xfId="17" xr:uid="{008E00C8-0445-4A0A-A402-102B32E2D4C2}"/>
    <cellStyle name="Euro" xfId="9" xr:uid="{151C5A58-712B-433E-9EE3-DCC11327EDA8}"/>
    <cellStyle name="Hipervínculo" xfId="13" builtinId="8"/>
    <cellStyle name="Millares [0] 2" xfId="4" xr:uid="{F28E7C57-BBC5-4B80-A434-3347E90ADF2F}"/>
    <cellStyle name="Moneda [0]" xfId="26" builtinId="7"/>
    <cellStyle name="Normal" xfId="0" builtinId="0"/>
    <cellStyle name="Normal 2" xfId="2" xr:uid="{97663EBF-0776-4EE3-970A-03E1D440ABEE}"/>
    <cellStyle name="Normal 2 2" xfId="11" xr:uid="{B274C7C8-EC8C-4B8A-9923-8D1E2DD2C641}"/>
    <cellStyle name="Normal 2 2 2" xfId="22" xr:uid="{0AE1A57A-2720-4E5B-A088-BB0BE3978098}"/>
    <cellStyle name="Normal 2 3" xfId="18" xr:uid="{6088A2BF-1426-4655-97BE-2DC32C786BD4}"/>
    <cellStyle name="Normal 2_matriz iaaps2015" xfId="7" xr:uid="{561B5E54-5334-490B-B3C5-6E1A70818AE3}"/>
    <cellStyle name="Normal 2_Vdelmar-IAAPS-2015-A Junio-SSVQ" xfId="8" xr:uid="{7D44B6A8-626D-4D9C-B62D-2DB00F78C5A5}"/>
    <cellStyle name="Normal 2_Vdelmar-IAAPS-2015-A Marzo-SSVQ" xfId="6" xr:uid="{C5D638E0-D8C2-44AB-BEFC-4A18EA958FC7}"/>
    <cellStyle name="Normal 3" xfId="14" xr:uid="{03598C0E-FDAC-4475-B2CE-3D9697A370AA}"/>
    <cellStyle name="Normal 3 2" xfId="19" xr:uid="{C9F38B33-B871-4866-8174-B146737E3378}"/>
    <cellStyle name="Normal 4" xfId="21" xr:uid="{B533C4E8-30A2-4867-BDFC-1E4BE00AAD6D}"/>
    <cellStyle name="Normal 5" xfId="23" xr:uid="{3CD4A16B-1E3A-45CA-AC3B-69892A57D001}"/>
    <cellStyle name="Normal 5 2" xfId="10" xr:uid="{AD329899-BA7A-4A2E-BA3F-579C339E2BD8}"/>
    <cellStyle name="Normal 6" xfId="24" xr:uid="{31C6D172-FBA3-4EC9-B278-1719DCBCCC2A}"/>
    <cellStyle name="Normal 6 2" xfId="25" xr:uid="{B050A309-DC0E-4DBC-9211-8E39F45734DD}"/>
    <cellStyle name="Normal 7" xfId="16" xr:uid="{16F0E2F0-0874-4166-BF2D-29612D30361A}"/>
    <cellStyle name="Normal 8" xfId="20" xr:uid="{5AA72380-D178-4CF1-BCAB-70AFC9534191}"/>
    <cellStyle name="Normal 9" xfId="12" xr:uid="{F8EFADC9-DFED-48E8-8B91-02DDE27619E9}"/>
    <cellStyle name="Normal_RESUMEN" xfId="5" xr:uid="{64B34D9A-7759-4C9C-BE8A-680E4BF244C6}"/>
    <cellStyle name="Porcentaje" xfId="1" builtinId="5"/>
    <cellStyle name="Porcentaje 2" xfId="15" xr:uid="{90B10EF8-F80E-433B-A00A-9D149DCE2E7E}"/>
    <cellStyle name="Porcentual 2" xfId="3" xr:uid="{7580F4ED-6AD5-4468-BBD8-579340580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8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1.xml"/><Relationship Id="rId63" Type="http://schemas.openxmlformats.org/officeDocument/2006/relationships/externalLink" Target="externalLinks/externalLink32.xml"/><Relationship Id="rId84" Type="http://schemas.openxmlformats.org/officeDocument/2006/relationships/externalLink" Target="externalLinks/externalLink53.xml"/><Relationship Id="rId138" Type="http://schemas.openxmlformats.org/officeDocument/2006/relationships/externalLink" Target="externalLinks/externalLink107.xml"/><Relationship Id="rId159" Type="http://schemas.openxmlformats.org/officeDocument/2006/relationships/externalLink" Target="externalLinks/externalLink128.xml"/><Relationship Id="rId170" Type="http://schemas.openxmlformats.org/officeDocument/2006/relationships/externalLink" Target="externalLinks/externalLink139.xml"/><Relationship Id="rId191" Type="http://schemas.openxmlformats.org/officeDocument/2006/relationships/externalLink" Target="externalLinks/externalLink160.xml"/><Relationship Id="rId107" Type="http://schemas.openxmlformats.org/officeDocument/2006/relationships/externalLink" Target="externalLinks/externalLink7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.xml"/><Relationship Id="rId53" Type="http://schemas.openxmlformats.org/officeDocument/2006/relationships/externalLink" Target="externalLinks/externalLink22.xml"/><Relationship Id="rId74" Type="http://schemas.openxmlformats.org/officeDocument/2006/relationships/externalLink" Target="externalLinks/externalLink43.xml"/><Relationship Id="rId128" Type="http://schemas.openxmlformats.org/officeDocument/2006/relationships/externalLink" Target="externalLinks/externalLink97.xml"/><Relationship Id="rId149" Type="http://schemas.openxmlformats.org/officeDocument/2006/relationships/externalLink" Target="externalLinks/externalLink118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64.xml"/><Relationship Id="rId160" Type="http://schemas.openxmlformats.org/officeDocument/2006/relationships/externalLink" Target="externalLinks/externalLink129.xml"/><Relationship Id="rId181" Type="http://schemas.openxmlformats.org/officeDocument/2006/relationships/externalLink" Target="externalLinks/externalLink150.xml"/><Relationship Id="rId22" Type="http://schemas.openxmlformats.org/officeDocument/2006/relationships/worksheet" Target="worksheets/sheet22.xml"/><Relationship Id="rId43" Type="http://schemas.openxmlformats.org/officeDocument/2006/relationships/externalLink" Target="externalLinks/externalLink12.xml"/><Relationship Id="rId64" Type="http://schemas.openxmlformats.org/officeDocument/2006/relationships/externalLink" Target="externalLinks/externalLink33.xml"/><Relationship Id="rId118" Type="http://schemas.openxmlformats.org/officeDocument/2006/relationships/externalLink" Target="externalLinks/externalLink87.xml"/><Relationship Id="rId139" Type="http://schemas.openxmlformats.org/officeDocument/2006/relationships/externalLink" Target="externalLinks/externalLink108.xml"/><Relationship Id="rId85" Type="http://schemas.openxmlformats.org/officeDocument/2006/relationships/externalLink" Target="externalLinks/externalLink54.xml"/><Relationship Id="rId150" Type="http://schemas.openxmlformats.org/officeDocument/2006/relationships/externalLink" Target="externalLinks/externalLink119.xml"/><Relationship Id="rId171" Type="http://schemas.openxmlformats.org/officeDocument/2006/relationships/externalLink" Target="externalLinks/externalLink140.xml"/><Relationship Id="rId192" Type="http://schemas.openxmlformats.org/officeDocument/2006/relationships/externalLink" Target="externalLinks/externalLink161.xml"/><Relationship Id="rId12" Type="http://schemas.openxmlformats.org/officeDocument/2006/relationships/worksheet" Target="worksheets/sheet12.xml"/><Relationship Id="rId33" Type="http://schemas.openxmlformats.org/officeDocument/2006/relationships/externalLink" Target="externalLinks/externalLink2.xml"/><Relationship Id="rId108" Type="http://schemas.openxmlformats.org/officeDocument/2006/relationships/externalLink" Target="externalLinks/externalLink77.xml"/><Relationship Id="rId129" Type="http://schemas.openxmlformats.org/officeDocument/2006/relationships/externalLink" Target="externalLinks/externalLink98.xml"/><Relationship Id="rId54" Type="http://schemas.openxmlformats.org/officeDocument/2006/relationships/externalLink" Target="externalLinks/externalLink23.xml"/><Relationship Id="rId75" Type="http://schemas.openxmlformats.org/officeDocument/2006/relationships/externalLink" Target="externalLinks/externalLink44.xml"/><Relationship Id="rId96" Type="http://schemas.openxmlformats.org/officeDocument/2006/relationships/externalLink" Target="externalLinks/externalLink65.xml"/><Relationship Id="rId140" Type="http://schemas.openxmlformats.org/officeDocument/2006/relationships/externalLink" Target="externalLinks/externalLink109.xml"/><Relationship Id="rId161" Type="http://schemas.openxmlformats.org/officeDocument/2006/relationships/externalLink" Target="externalLinks/externalLink130.xml"/><Relationship Id="rId182" Type="http://schemas.openxmlformats.org/officeDocument/2006/relationships/externalLink" Target="externalLinks/externalLink15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externalLink" Target="externalLinks/externalLink88.xml"/><Relationship Id="rId44" Type="http://schemas.openxmlformats.org/officeDocument/2006/relationships/externalLink" Target="externalLinks/externalLink13.xml"/><Relationship Id="rId65" Type="http://schemas.openxmlformats.org/officeDocument/2006/relationships/externalLink" Target="externalLinks/externalLink34.xml"/><Relationship Id="rId86" Type="http://schemas.openxmlformats.org/officeDocument/2006/relationships/externalLink" Target="externalLinks/externalLink55.xml"/><Relationship Id="rId130" Type="http://schemas.openxmlformats.org/officeDocument/2006/relationships/externalLink" Target="externalLinks/externalLink99.xml"/><Relationship Id="rId151" Type="http://schemas.openxmlformats.org/officeDocument/2006/relationships/externalLink" Target="externalLinks/externalLink120.xml"/><Relationship Id="rId172" Type="http://schemas.openxmlformats.org/officeDocument/2006/relationships/externalLink" Target="externalLinks/externalLink141.xml"/><Relationship Id="rId193" Type="http://schemas.openxmlformats.org/officeDocument/2006/relationships/externalLink" Target="externalLinks/externalLink162.xml"/><Relationship Id="rId13" Type="http://schemas.openxmlformats.org/officeDocument/2006/relationships/worksheet" Target="worksheets/sheet13.xml"/><Relationship Id="rId109" Type="http://schemas.openxmlformats.org/officeDocument/2006/relationships/externalLink" Target="externalLinks/externalLink78.xml"/><Relationship Id="rId34" Type="http://schemas.openxmlformats.org/officeDocument/2006/relationships/externalLink" Target="externalLinks/externalLink3.xml"/><Relationship Id="rId55" Type="http://schemas.openxmlformats.org/officeDocument/2006/relationships/externalLink" Target="externalLinks/externalLink24.xml"/><Relationship Id="rId76" Type="http://schemas.openxmlformats.org/officeDocument/2006/relationships/externalLink" Target="externalLinks/externalLink45.xml"/><Relationship Id="rId97" Type="http://schemas.openxmlformats.org/officeDocument/2006/relationships/externalLink" Target="externalLinks/externalLink66.xml"/><Relationship Id="rId120" Type="http://schemas.openxmlformats.org/officeDocument/2006/relationships/externalLink" Target="externalLinks/externalLink89.xml"/><Relationship Id="rId141" Type="http://schemas.openxmlformats.org/officeDocument/2006/relationships/externalLink" Target="externalLinks/externalLink110.xml"/><Relationship Id="rId7" Type="http://schemas.openxmlformats.org/officeDocument/2006/relationships/worksheet" Target="worksheets/sheet7.xml"/><Relationship Id="rId162" Type="http://schemas.openxmlformats.org/officeDocument/2006/relationships/externalLink" Target="externalLinks/externalLink131.xml"/><Relationship Id="rId183" Type="http://schemas.openxmlformats.org/officeDocument/2006/relationships/externalLink" Target="externalLinks/externalLink15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9.xml"/><Relationship Id="rId45" Type="http://schemas.openxmlformats.org/officeDocument/2006/relationships/externalLink" Target="externalLinks/externalLink14.xml"/><Relationship Id="rId66" Type="http://schemas.openxmlformats.org/officeDocument/2006/relationships/externalLink" Target="externalLinks/externalLink35.xml"/><Relationship Id="rId87" Type="http://schemas.openxmlformats.org/officeDocument/2006/relationships/externalLink" Target="externalLinks/externalLink56.xml"/><Relationship Id="rId110" Type="http://schemas.openxmlformats.org/officeDocument/2006/relationships/externalLink" Target="externalLinks/externalLink79.xml"/><Relationship Id="rId115" Type="http://schemas.openxmlformats.org/officeDocument/2006/relationships/externalLink" Target="externalLinks/externalLink84.xml"/><Relationship Id="rId131" Type="http://schemas.openxmlformats.org/officeDocument/2006/relationships/externalLink" Target="externalLinks/externalLink100.xml"/><Relationship Id="rId136" Type="http://schemas.openxmlformats.org/officeDocument/2006/relationships/externalLink" Target="externalLinks/externalLink105.xml"/><Relationship Id="rId157" Type="http://schemas.openxmlformats.org/officeDocument/2006/relationships/externalLink" Target="externalLinks/externalLink126.xml"/><Relationship Id="rId178" Type="http://schemas.openxmlformats.org/officeDocument/2006/relationships/externalLink" Target="externalLinks/externalLink147.xml"/><Relationship Id="rId61" Type="http://schemas.openxmlformats.org/officeDocument/2006/relationships/externalLink" Target="externalLinks/externalLink30.xml"/><Relationship Id="rId82" Type="http://schemas.openxmlformats.org/officeDocument/2006/relationships/externalLink" Target="externalLinks/externalLink51.xml"/><Relationship Id="rId152" Type="http://schemas.openxmlformats.org/officeDocument/2006/relationships/externalLink" Target="externalLinks/externalLink121.xml"/><Relationship Id="rId173" Type="http://schemas.openxmlformats.org/officeDocument/2006/relationships/externalLink" Target="externalLinks/externalLink142.xml"/><Relationship Id="rId194" Type="http://schemas.openxmlformats.org/officeDocument/2006/relationships/externalLink" Target="externalLinks/externalLink163.xml"/><Relationship Id="rId199" Type="http://schemas.openxmlformats.org/officeDocument/2006/relationships/externalLink" Target="externalLinks/externalLink168.xml"/><Relationship Id="rId203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56" Type="http://schemas.openxmlformats.org/officeDocument/2006/relationships/externalLink" Target="externalLinks/externalLink25.xml"/><Relationship Id="rId77" Type="http://schemas.openxmlformats.org/officeDocument/2006/relationships/externalLink" Target="externalLinks/externalLink46.xml"/><Relationship Id="rId100" Type="http://schemas.openxmlformats.org/officeDocument/2006/relationships/externalLink" Target="externalLinks/externalLink69.xml"/><Relationship Id="rId105" Type="http://schemas.openxmlformats.org/officeDocument/2006/relationships/externalLink" Target="externalLinks/externalLink74.xml"/><Relationship Id="rId126" Type="http://schemas.openxmlformats.org/officeDocument/2006/relationships/externalLink" Target="externalLinks/externalLink95.xml"/><Relationship Id="rId147" Type="http://schemas.openxmlformats.org/officeDocument/2006/relationships/externalLink" Target="externalLinks/externalLink116.xml"/><Relationship Id="rId168" Type="http://schemas.openxmlformats.org/officeDocument/2006/relationships/externalLink" Target="externalLinks/externalLink13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0.xml"/><Relationship Id="rId72" Type="http://schemas.openxmlformats.org/officeDocument/2006/relationships/externalLink" Target="externalLinks/externalLink41.xml"/><Relationship Id="rId93" Type="http://schemas.openxmlformats.org/officeDocument/2006/relationships/externalLink" Target="externalLinks/externalLink62.xml"/><Relationship Id="rId98" Type="http://schemas.openxmlformats.org/officeDocument/2006/relationships/externalLink" Target="externalLinks/externalLink67.xml"/><Relationship Id="rId121" Type="http://schemas.openxmlformats.org/officeDocument/2006/relationships/externalLink" Target="externalLinks/externalLink90.xml"/><Relationship Id="rId142" Type="http://schemas.openxmlformats.org/officeDocument/2006/relationships/externalLink" Target="externalLinks/externalLink111.xml"/><Relationship Id="rId163" Type="http://schemas.openxmlformats.org/officeDocument/2006/relationships/externalLink" Target="externalLinks/externalLink132.xml"/><Relationship Id="rId184" Type="http://schemas.openxmlformats.org/officeDocument/2006/relationships/externalLink" Target="externalLinks/externalLink153.xml"/><Relationship Id="rId189" Type="http://schemas.openxmlformats.org/officeDocument/2006/relationships/externalLink" Target="externalLinks/externalLink15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15.xml"/><Relationship Id="rId67" Type="http://schemas.openxmlformats.org/officeDocument/2006/relationships/externalLink" Target="externalLinks/externalLink36.xml"/><Relationship Id="rId116" Type="http://schemas.openxmlformats.org/officeDocument/2006/relationships/externalLink" Target="externalLinks/externalLink85.xml"/><Relationship Id="rId137" Type="http://schemas.openxmlformats.org/officeDocument/2006/relationships/externalLink" Target="externalLinks/externalLink106.xml"/><Relationship Id="rId158" Type="http://schemas.openxmlformats.org/officeDocument/2006/relationships/externalLink" Target="externalLinks/externalLink12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Relationship Id="rId62" Type="http://schemas.openxmlformats.org/officeDocument/2006/relationships/externalLink" Target="externalLinks/externalLink31.xml"/><Relationship Id="rId83" Type="http://schemas.openxmlformats.org/officeDocument/2006/relationships/externalLink" Target="externalLinks/externalLink52.xml"/><Relationship Id="rId88" Type="http://schemas.openxmlformats.org/officeDocument/2006/relationships/externalLink" Target="externalLinks/externalLink57.xml"/><Relationship Id="rId111" Type="http://schemas.openxmlformats.org/officeDocument/2006/relationships/externalLink" Target="externalLinks/externalLink80.xml"/><Relationship Id="rId132" Type="http://schemas.openxmlformats.org/officeDocument/2006/relationships/externalLink" Target="externalLinks/externalLink101.xml"/><Relationship Id="rId153" Type="http://schemas.openxmlformats.org/officeDocument/2006/relationships/externalLink" Target="externalLinks/externalLink122.xml"/><Relationship Id="rId174" Type="http://schemas.openxmlformats.org/officeDocument/2006/relationships/externalLink" Target="externalLinks/externalLink143.xml"/><Relationship Id="rId179" Type="http://schemas.openxmlformats.org/officeDocument/2006/relationships/externalLink" Target="externalLinks/externalLink148.xml"/><Relationship Id="rId195" Type="http://schemas.openxmlformats.org/officeDocument/2006/relationships/externalLink" Target="externalLinks/externalLink164.xml"/><Relationship Id="rId190" Type="http://schemas.openxmlformats.org/officeDocument/2006/relationships/externalLink" Target="externalLinks/externalLink159.xml"/><Relationship Id="rId204" Type="http://schemas.openxmlformats.org/officeDocument/2006/relationships/calcChain" Target="calcChain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5.xml"/><Relationship Id="rId57" Type="http://schemas.openxmlformats.org/officeDocument/2006/relationships/externalLink" Target="externalLinks/externalLink26.xml"/><Relationship Id="rId106" Type="http://schemas.openxmlformats.org/officeDocument/2006/relationships/externalLink" Target="externalLinks/externalLink75.xml"/><Relationship Id="rId127" Type="http://schemas.openxmlformats.org/officeDocument/2006/relationships/externalLink" Target="externalLinks/externalLink9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externalLink" Target="externalLinks/externalLink21.xml"/><Relationship Id="rId73" Type="http://schemas.openxmlformats.org/officeDocument/2006/relationships/externalLink" Target="externalLinks/externalLink42.xml"/><Relationship Id="rId78" Type="http://schemas.openxmlformats.org/officeDocument/2006/relationships/externalLink" Target="externalLinks/externalLink47.xml"/><Relationship Id="rId94" Type="http://schemas.openxmlformats.org/officeDocument/2006/relationships/externalLink" Target="externalLinks/externalLink63.xml"/><Relationship Id="rId99" Type="http://schemas.openxmlformats.org/officeDocument/2006/relationships/externalLink" Target="externalLinks/externalLink68.xml"/><Relationship Id="rId101" Type="http://schemas.openxmlformats.org/officeDocument/2006/relationships/externalLink" Target="externalLinks/externalLink70.xml"/><Relationship Id="rId122" Type="http://schemas.openxmlformats.org/officeDocument/2006/relationships/externalLink" Target="externalLinks/externalLink91.xml"/><Relationship Id="rId143" Type="http://schemas.openxmlformats.org/officeDocument/2006/relationships/externalLink" Target="externalLinks/externalLink112.xml"/><Relationship Id="rId148" Type="http://schemas.openxmlformats.org/officeDocument/2006/relationships/externalLink" Target="externalLinks/externalLink117.xml"/><Relationship Id="rId164" Type="http://schemas.openxmlformats.org/officeDocument/2006/relationships/externalLink" Target="externalLinks/externalLink133.xml"/><Relationship Id="rId169" Type="http://schemas.openxmlformats.org/officeDocument/2006/relationships/externalLink" Target="externalLinks/externalLink138.xml"/><Relationship Id="rId185" Type="http://schemas.openxmlformats.org/officeDocument/2006/relationships/externalLink" Target="externalLinks/externalLink15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externalLink" Target="externalLinks/externalLink149.xml"/><Relationship Id="rId26" Type="http://schemas.openxmlformats.org/officeDocument/2006/relationships/worksheet" Target="worksheets/sheet26.xml"/><Relationship Id="rId47" Type="http://schemas.openxmlformats.org/officeDocument/2006/relationships/externalLink" Target="externalLinks/externalLink16.xml"/><Relationship Id="rId68" Type="http://schemas.openxmlformats.org/officeDocument/2006/relationships/externalLink" Target="externalLinks/externalLink37.xml"/><Relationship Id="rId89" Type="http://schemas.openxmlformats.org/officeDocument/2006/relationships/externalLink" Target="externalLinks/externalLink58.xml"/><Relationship Id="rId112" Type="http://schemas.openxmlformats.org/officeDocument/2006/relationships/externalLink" Target="externalLinks/externalLink81.xml"/><Relationship Id="rId133" Type="http://schemas.openxmlformats.org/officeDocument/2006/relationships/externalLink" Target="externalLinks/externalLink102.xml"/><Relationship Id="rId154" Type="http://schemas.openxmlformats.org/officeDocument/2006/relationships/externalLink" Target="externalLinks/externalLink123.xml"/><Relationship Id="rId175" Type="http://schemas.openxmlformats.org/officeDocument/2006/relationships/externalLink" Target="externalLinks/externalLink144.xml"/><Relationship Id="rId196" Type="http://schemas.openxmlformats.org/officeDocument/2006/relationships/externalLink" Target="externalLinks/externalLink165.xml"/><Relationship Id="rId200" Type="http://schemas.openxmlformats.org/officeDocument/2006/relationships/externalLink" Target="externalLinks/externalLink169.xml"/><Relationship Id="rId16" Type="http://schemas.openxmlformats.org/officeDocument/2006/relationships/worksheet" Target="worksheets/sheet16.xml"/><Relationship Id="rId37" Type="http://schemas.openxmlformats.org/officeDocument/2006/relationships/externalLink" Target="externalLinks/externalLink6.xml"/><Relationship Id="rId58" Type="http://schemas.openxmlformats.org/officeDocument/2006/relationships/externalLink" Target="externalLinks/externalLink27.xml"/><Relationship Id="rId79" Type="http://schemas.openxmlformats.org/officeDocument/2006/relationships/externalLink" Target="externalLinks/externalLink48.xml"/><Relationship Id="rId102" Type="http://schemas.openxmlformats.org/officeDocument/2006/relationships/externalLink" Target="externalLinks/externalLink71.xml"/><Relationship Id="rId123" Type="http://schemas.openxmlformats.org/officeDocument/2006/relationships/externalLink" Target="externalLinks/externalLink92.xml"/><Relationship Id="rId144" Type="http://schemas.openxmlformats.org/officeDocument/2006/relationships/externalLink" Target="externalLinks/externalLink113.xml"/><Relationship Id="rId90" Type="http://schemas.openxmlformats.org/officeDocument/2006/relationships/externalLink" Target="externalLinks/externalLink59.xml"/><Relationship Id="rId165" Type="http://schemas.openxmlformats.org/officeDocument/2006/relationships/externalLink" Target="externalLinks/externalLink134.xml"/><Relationship Id="rId186" Type="http://schemas.openxmlformats.org/officeDocument/2006/relationships/externalLink" Target="externalLinks/externalLink155.xml"/><Relationship Id="rId27" Type="http://schemas.openxmlformats.org/officeDocument/2006/relationships/worksheet" Target="worksheets/sheet27.xml"/><Relationship Id="rId48" Type="http://schemas.openxmlformats.org/officeDocument/2006/relationships/externalLink" Target="externalLinks/externalLink17.xml"/><Relationship Id="rId69" Type="http://schemas.openxmlformats.org/officeDocument/2006/relationships/externalLink" Target="externalLinks/externalLink38.xml"/><Relationship Id="rId113" Type="http://schemas.openxmlformats.org/officeDocument/2006/relationships/externalLink" Target="externalLinks/externalLink82.xml"/><Relationship Id="rId134" Type="http://schemas.openxmlformats.org/officeDocument/2006/relationships/externalLink" Target="externalLinks/externalLink103.xml"/><Relationship Id="rId80" Type="http://schemas.openxmlformats.org/officeDocument/2006/relationships/externalLink" Target="externalLinks/externalLink49.xml"/><Relationship Id="rId155" Type="http://schemas.openxmlformats.org/officeDocument/2006/relationships/externalLink" Target="externalLinks/externalLink124.xml"/><Relationship Id="rId176" Type="http://schemas.openxmlformats.org/officeDocument/2006/relationships/externalLink" Target="externalLinks/externalLink145.xml"/><Relationship Id="rId197" Type="http://schemas.openxmlformats.org/officeDocument/2006/relationships/externalLink" Target="externalLinks/externalLink166.xml"/><Relationship Id="rId201" Type="http://schemas.openxmlformats.org/officeDocument/2006/relationships/theme" Target="theme/theme1.xml"/><Relationship Id="rId17" Type="http://schemas.openxmlformats.org/officeDocument/2006/relationships/worksheet" Target="worksheets/sheet17.xml"/><Relationship Id="rId38" Type="http://schemas.openxmlformats.org/officeDocument/2006/relationships/externalLink" Target="externalLinks/externalLink7.xml"/><Relationship Id="rId59" Type="http://schemas.openxmlformats.org/officeDocument/2006/relationships/externalLink" Target="externalLinks/externalLink28.xml"/><Relationship Id="rId103" Type="http://schemas.openxmlformats.org/officeDocument/2006/relationships/externalLink" Target="externalLinks/externalLink72.xml"/><Relationship Id="rId124" Type="http://schemas.openxmlformats.org/officeDocument/2006/relationships/externalLink" Target="externalLinks/externalLink93.xml"/><Relationship Id="rId70" Type="http://schemas.openxmlformats.org/officeDocument/2006/relationships/externalLink" Target="externalLinks/externalLink39.xml"/><Relationship Id="rId91" Type="http://schemas.openxmlformats.org/officeDocument/2006/relationships/externalLink" Target="externalLinks/externalLink60.xml"/><Relationship Id="rId145" Type="http://schemas.openxmlformats.org/officeDocument/2006/relationships/externalLink" Target="externalLinks/externalLink114.xml"/><Relationship Id="rId166" Type="http://schemas.openxmlformats.org/officeDocument/2006/relationships/externalLink" Target="externalLinks/externalLink135.xml"/><Relationship Id="rId187" Type="http://schemas.openxmlformats.org/officeDocument/2006/relationships/externalLink" Target="externalLinks/externalLink156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externalLink" Target="externalLinks/externalLink18.xml"/><Relationship Id="rId114" Type="http://schemas.openxmlformats.org/officeDocument/2006/relationships/externalLink" Target="externalLinks/externalLink83.xml"/><Relationship Id="rId60" Type="http://schemas.openxmlformats.org/officeDocument/2006/relationships/externalLink" Target="externalLinks/externalLink29.xml"/><Relationship Id="rId81" Type="http://schemas.openxmlformats.org/officeDocument/2006/relationships/externalLink" Target="externalLinks/externalLink50.xml"/><Relationship Id="rId135" Type="http://schemas.openxmlformats.org/officeDocument/2006/relationships/externalLink" Target="externalLinks/externalLink104.xml"/><Relationship Id="rId156" Type="http://schemas.openxmlformats.org/officeDocument/2006/relationships/externalLink" Target="externalLinks/externalLink125.xml"/><Relationship Id="rId177" Type="http://schemas.openxmlformats.org/officeDocument/2006/relationships/externalLink" Target="externalLinks/externalLink146.xml"/><Relationship Id="rId198" Type="http://schemas.openxmlformats.org/officeDocument/2006/relationships/externalLink" Target="externalLinks/externalLink167.xml"/><Relationship Id="rId202" Type="http://schemas.openxmlformats.org/officeDocument/2006/relationships/styles" Target="styles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8.xml"/><Relationship Id="rId50" Type="http://schemas.openxmlformats.org/officeDocument/2006/relationships/externalLink" Target="externalLinks/externalLink19.xml"/><Relationship Id="rId104" Type="http://schemas.openxmlformats.org/officeDocument/2006/relationships/externalLink" Target="externalLinks/externalLink73.xml"/><Relationship Id="rId125" Type="http://schemas.openxmlformats.org/officeDocument/2006/relationships/externalLink" Target="externalLinks/externalLink94.xml"/><Relationship Id="rId146" Type="http://schemas.openxmlformats.org/officeDocument/2006/relationships/externalLink" Target="externalLinks/externalLink115.xml"/><Relationship Id="rId167" Type="http://schemas.openxmlformats.org/officeDocument/2006/relationships/externalLink" Target="externalLinks/externalLink136.xml"/><Relationship Id="rId188" Type="http://schemas.openxmlformats.org/officeDocument/2006/relationships/externalLink" Target="externalLinks/externalLink157.xml"/><Relationship Id="rId71" Type="http://schemas.openxmlformats.org/officeDocument/2006/relationships/externalLink" Target="externalLinks/externalLink40.xml"/><Relationship Id="rId92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POBLACION/Perc&#225;p&#236;ta-SSVQ-2024/Poblaci&#243;n%20SSVQ-Total-Perc&#225;p&#236;ta-SSVQ-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9.xlsm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MARZO.xlsm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MARZO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JUNIO.xlsm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JUNIO.xlsm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JUNIO.xlsm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JUNIO.xlsm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SEPTIEMBRE.xlsm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SEPTIEMBRE.xlsm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SEPTIEMBRE.xlsm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SEPTIEMBRE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10.xlsm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MARZO.xlsm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MARZO.xlsm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MARZO.xlsm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MARZO.xlsm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JUNIO.xlsm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JUNIO.xlsm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JUNIO.xlsm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JUNIO.xlsm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SEPTIEMBRE.xlsm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SEPTIEMBRE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11.xlsm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SEPTIEMBRE.xlsm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SEPTIEMBRE.xlsm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MARZO.xlsm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MARZO.xlsm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MARZO.xlsm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MARZO.xlsm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JUNIO.xlsm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JUNIO.xlsm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JUNIO.xlsm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JUNIO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12.xlsm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SEPTIEMBRE.xlsm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SEPTIEMBRE.xlsm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SEPTIEMBRE.xlsm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SEPTIEMBRE.xlsm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MARZO.xlsm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MARZO.xlsm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MARZO.xlsm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MARZO.xlsm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JUNIO.xlsm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JUNIO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1.xlsm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JUNIO.xlsm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JUNIO.xlsm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SEPTIEMBRE.xlsm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SEPTIEMBRE.xlsm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SEPTIEMBRE.xlsm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SEPTIEMBRE.xlsm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MARZO.xlsm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MARZO.xlsm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MARZO.xlsm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MARZO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2.xlsm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JUNIO.xlsm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JUNIO.xlsm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JUNIO.xlsm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JUNIO.xlsm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SEPTIEMBRE.xlsm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SEPTIEMBRE.xlsm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SEPTIEMBRE.xlsm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SEPTIEMBRE.xlsm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MARZO.xlsm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MARZO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3.xlsm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MARZO.xlsm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MARZO.xlsm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JUNIO.xlsm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JUNIO.xlsm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JUNIO.xlsm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JUNIO.xlsm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SEPTIEMBRE.xlsm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SEPTIEMBRE.xlsm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SEPTIEMBRE.xlsm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SEPTIEMBRE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4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5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1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7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8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9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10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11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12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1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2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3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2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6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7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8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9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10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11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12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1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3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3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4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5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6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7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8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9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10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11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4.xlsm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1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2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3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4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5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6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7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8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9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1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5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11.xlsm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12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1.xlsm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2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3.xlsm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4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5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6.xls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7.xlsm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6.xlsm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9.xls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10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11.xlsm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12.xlsm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1.xlsm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2.xlsm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3.xlsm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4.xlsm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5.xlsm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7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7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8.xlsm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9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10.xlsm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11.xlsm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12.xlsm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MARZO.xlsm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MARZO.xlsm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MARZO.xlsm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MARZO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8.xlsm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JUNIO.xlsm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JUNIO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JUNIO.xlsm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JUNIO.xlsm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SEPTIEMBRE.xlsm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SEPTIEMBRE.xlsm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SEPTIEMBRE.xlsm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SEPTIEMBRE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MARZO.xlsm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MARZ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as-Hospital"/>
      <sheetName val="TOTAL 2024"/>
      <sheetName val="INSCRITA PERCAPITA 2024"/>
    </sheetNames>
    <sheetDataSet>
      <sheetData sheetId="0"/>
      <sheetData sheetId="1"/>
      <sheetData sheetId="2">
        <row r="34">
          <cell r="D34">
            <v>73.037999999999997</v>
          </cell>
          <cell r="E34">
            <v>122.38800000000001</v>
          </cell>
          <cell r="F34">
            <v>126.336</v>
          </cell>
          <cell r="G34">
            <v>195.42599999999999</v>
          </cell>
          <cell r="H34">
            <v>81.920999999999992</v>
          </cell>
          <cell r="I34">
            <v>75.998999999999995</v>
          </cell>
          <cell r="J34">
            <v>66.128999999999991</v>
          </cell>
          <cell r="K34">
            <v>239.84100000000001</v>
          </cell>
          <cell r="L34">
            <v>333.60599999999999</v>
          </cell>
          <cell r="M34">
            <v>305.97000000000003</v>
          </cell>
          <cell r="N34">
            <v>305.97000000000003</v>
          </cell>
          <cell r="O34">
            <v>369.13800000000003</v>
          </cell>
          <cell r="P34">
            <v>319.78800000000001</v>
          </cell>
          <cell r="Q34">
            <v>360.255</v>
          </cell>
          <cell r="R34">
            <v>347.42399999999998</v>
          </cell>
          <cell r="S34">
            <v>1829.8980000000001</v>
          </cell>
          <cell r="T34">
            <v>2191.14</v>
          </cell>
          <cell r="U34">
            <v>2643.1859999999997</v>
          </cell>
          <cell r="V34">
            <v>2940.2730000000001</v>
          </cell>
          <cell r="W34">
            <v>2578.0439999999999</v>
          </cell>
          <cell r="X34">
            <v>2468.4870000000001</v>
          </cell>
          <cell r="Y34">
            <v>2270.1000000000004</v>
          </cell>
          <cell r="Z34">
            <v>2501.058</v>
          </cell>
          <cell r="AA34">
            <v>2792.223</v>
          </cell>
          <cell r="AB34">
            <v>2947.1819999999998</v>
          </cell>
          <cell r="AC34">
            <v>2580.018</v>
          </cell>
          <cell r="AD34">
            <v>2057.895</v>
          </cell>
          <cell r="AE34">
            <v>1826.9369999999999</v>
          </cell>
          <cell r="AF34">
            <v>2731.029</v>
          </cell>
          <cell r="AG34">
            <v>60.206999999999994</v>
          </cell>
          <cell r="AZ34">
            <v>1112.3489999999999</v>
          </cell>
          <cell r="BA34">
            <v>1345.2809999999999</v>
          </cell>
          <cell r="BB34">
            <v>1476.5519999999999</v>
          </cell>
          <cell r="BC34">
            <v>1252.5029999999999</v>
          </cell>
          <cell r="BD34">
            <v>1136.037</v>
          </cell>
          <cell r="BE34">
            <v>1074.8430000000001</v>
          </cell>
          <cell r="BF34">
            <v>1128.1410000000001</v>
          </cell>
          <cell r="BG34">
            <v>1236.711</v>
          </cell>
          <cell r="BH34">
            <v>1286.0609999999999</v>
          </cell>
          <cell r="CF34">
            <v>1078.7909999999999</v>
          </cell>
          <cell r="CG34">
            <v>1297.905</v>
          </cell>
          <cell r="CH34">
            <v>1463.721</v>
          </cell>
          <cell r="CI34">
            <v>1325.5409999999999</v>
          </cell>
          <cell r="CJ34">
            <v>1332.45</v>
          </cell>
          <cell r="CK34">
            <v>1195.2570000000001</v>
          </cell>
          <cell r="CL34">
            <v>1372.9169999999999</v>
          </cell>
          <cell r="CM34">
            <v>1555.5119999999999</v>
          </cell>
          <cell r="CN34">
            <v>1661.1209999999999</v>
          </cell>
        </row>
        <row r="35">
          <cell r="D35">
            <v>57</v>
          </cell>
          <cell r="E35">
            <v>18</v>
          </cell>
          <cell r="F35">
            <v>31</v>
          </cell>
          <cell r="G35">
            <v>56</v>
          </cell>
          <cell r="H35">
            <v>111</v>
          </cell>
          <cell r="I35">
            <v>89</v>
          </cell>
          <cell r="J35">
            <v>110</v>
          </cell>
          <cell r="K35">
            <v>230</v>
          </cell>
          <cell r="L35">
            <v>304</v>
          </cell>
          <cell r="M35">
            <v>320</v>
          </cell>
          <cell r="N35">
            <v>295</v>
          </cell>
          <cell r="O35">
            <v>259</v>
          </cell>
          <cell r="P35">
            <v>304</v>
          </cell>
          <cell r="Q35">
            <v>281</v>
          </cell>
          <cell r="R35">
            <v>310</v>
          </cell>
          <cell r="S35">
            <v>1565</v>
          </cell>
          <cell r="T35">
            <v>1537</v>
          </cell>
          <cell r="U35">
            <v>1828</v>
          </cell>
          <cell r="V35">
            <v>1848</v>
          </cell>
          <cell r="W35">
            <v>1672</v>
          </cell>
          <cell r="X35">
            <v>1545</v>
          </cell>
          <cell r="Y35">
            <v>1465</v>
          </cell>
          <cell r="Z35">
            <v>1454</v>
          </cell>
          <cell r="AA35">
            <v>1647</v>
          </cell>
          <cell r="AB35">
            <v>1557</v>
          </cell>
          <cell r="AC35">
            <v>1367</v>
          </cell>
          <cell r="AD35">
            <v>973</v>
          </cell>
          <cell r="AE35">
            <v>885</v>
          </cell>
          <cell r="AF35">
            <v>1053</v>
          </cell>
          <cell r="AG35">
            <v>14</v>
          </cell>
          <cell r="AZ35">
            <v>783</v>
          </cell>
          <cell r="BA35">
            <v>898</v>
          </cell>
          <cell r="BB35">
            <v>900</v>
          </cell>
          <cell r="BC35">
            <v>724</v>
          </cell>
          <cell r="BD35">
            <v>746</v>
          </cell>
          <cell r="BE35">
            <v>623</v>
          </cell>
          <cell r="BF35">
            <v>647</v>
          </cell>
          <cell r="BG35">
            <v>741</v>
          </cell>
          <cell r="BH35">
            <v>641</v>
          </cell>
          <cell r="CF35">
            <v>754</v>
          </cell>
          <cell r="CG35">
            <v>930</v>
          </cell>
          <cell r="CH35">
            <v>948</v>
          </cell>
          <cell r="CI35">
            <v>948</v>
          </cell>
          <cell r="CJ35">
            <v>799</v>
          </cell>
          <cell r="CK35">
            <v>842</v>
          </cell>
          <cell r="CL35">
            <v>807</v>
          </cell>
          <cell r="CM35">
            <v>906</v>
          </cell>
          <cell r="CN35">
            <v>916</v>
          </cell>
        </row>
        <row r="36">
          <cell r="D36">
            <v>87</v>
          </cell>
          <cell r="E36">
            <v>108</v>
          </cell>
          <cell r="F36">
            <v>117</v>
          </cell>
          <cell r="G36">
            <v>183</v>
          </cell>
          <cell r="H36">
            <v>207</v>
          </cell>
          <cell r="I36">
            <v>215</v>
          </cell>
          <cell r="J36">
            <v>118</v>
          </cell>
          <cell r="K36">
            <v>213</v>
          </cell>
          <cell r="L36">
            <v>275</v>
          </cell>
          <cell r="M36">
            <v>285</v>
          </cell>
          <cell r="N36">
            <v>283</v>
          </cell>
          <cell r="O36">
            <v>263</v>
          </cell>
          <cell r="P36">
            <v>231</v>
          </cell>
          <cell r="Q36">
            <v>299</v>
          </cell>
          <cell r="R36">
            <v>261</v>
          </cell>
          <cell r="S36">
            <v>1190</v>
          </cell>
          <cell r="T36">
            <v>1321</v>
          </cell>
          <cell r="U36">
            <v>1584</v>
          </cell>
          <cell r="V36">
            <v>1597</v>
          </cell>
          <cell r="W36">
            <v>1349</v>
          </cell>
          <cell r="X36">
            <v>1217</v>
          </cell>
          <cell r="Y36">
            <v>1071</v>
          </cell>
          <cell r="Z36">
            <v>1084</v>
          </cell>
          <cell r="AA36">
            <v>1154</v>
          </cell>
          <cell r="AB36">
            <v>1090</v>
          </cell>
          <cell r="AC36">
            <v>855</v>
          </cell>
          <cell r="AD36">
            <v>684</v>
          </cell>
          <cell r="AE36">
            <v>505</v>
          </cell>
          <cell r="AF36">
            <v>652</v>
          </cell>
          <cell r="AG36">
            <v>11</v>
          </cell>
          <cell r="AZ36">
            <v>637</v>
          </cell>
          <cell r="BA36">
            <v>755</v>
          </cell>
          <cell r="BB36">
            <v>765</v>
          </cell>
          <cell r="BC36">
            <v>641</v>
          </cell>
          <cell r="BD36">
            <v>550</v>
          </cell>
          <cell r="BE36">
            <v>467</v>
          </cell>
          <cell r="BF36">
            <v>516</v>
          </cell>
          <cell r="BG36">
            <v>536</v>
          </cell>
          <cell r="BH36">
            <v>482</v>
          </cell>
          <cell r="CF36">
            <v>684</v>
          </cell>
          <cell r="CG36">
            <v>829</v>
          </cell>
          <cell r="CH36">
            <v>832</v>
          </cell>
          <cell r="CI36">
            <v>708</v>
          </cell>
          <cell r="CJ36">
            <v>667</v>
          </cell>
          <cell r="CK36">
            <v>604</v>
          </cell>
          <cell r="CL36">
            <v>568</v>
          </cell>
          <cell r="CM36">
            <v>618</v>
          </cell>
          <cell r="CN36">
            <v>608</v>
          </cell>
        </row>
        <row r="37">
          <cell r="D37">
            <v>107.6032</v>
          </cell>
          <cell r="E37">
            <v>76.746399999999994</v>
          </cell>
          <cell r="F37">
            <v>120.2624</v>
          </cell>
          <cell r="G37">
            <v>140.83359999999999</v>
          </cell>
          <cell r="H37">
            <v>106.02080000000001</v>
          </cell>
          <cell r="I37">
            <v>117.8888</v>
          </cell>
          <cell r="J37">
            <v>93.361599999999996</v>
          </cell>
          <cell r="K37">
            <v>222.3272</v>
          </cell>
          <cell r="L37">
            <v>283.24959999999999</v>
          </cell>
          <cell r="M37">
            <v>299.0736</v>
          </cell>
          <cell r="N37">
            <v>280.87599999999998</v>
          </cell>
          <cell r="O37">
            <v>301.44719999999995</v>
          </cell>
          <cell r="P37">
            <v>263.46960000000001</v>
          </cell>
          <cell r="Q37">
            <v>276.91999999999996</v>
          </cell>
          <cell r="R37">
            <v>318.85360000000003</v>
          </cell>
          <cell r="S37">
            <v>1272.2496000000001</v>
          </cell>
          <cell r="T37">
            <v>1341.8751999999999</v>
          </cell>
          <cell r="U37">
            <v>1476.3792000000001</v>
          </cell>
          <cell r="V37">
            <v>1534.1368</v>
          </cell>
          <cell r="W37">
            <v>1350.5784000000001</v>
          </cell>
          <cell r="X37">
            <v>1224.7775999999999</v>
          </cell>
          <cell r="Y37">
            <v>1094.2296000000001</v>
          </cell>
          <cell r="Z37">
            <v>1079.1967999999999</v>
          </cell>
          <cell r="AA37">
            <v>1143.2840000000001</v>
          </cell>
          <cell r="AB37">
            <v>1090.2736</v>
          </cell>
          <cell r="AC37">
            <v>895.63840000000005</v>
          </cell>
          <cell r="AD37">
            <v>690.71759999999995</v>
          </cell>
          <cell r="AE37">
            <v>563.33439999999996</v>
          </cell>
          <cell r="AF37">
            <v>720.78320000000008</v>
          </cell>
          <cell r="AG37">
            <v>6.3296000000000001</v>
          </cell>
          <cell r="AZ37">
            <v>670.93759999999997</v>
          </cell>
          <cell r="BA37">
            <v>689.92640000000006</v>
          </cell>
          <cell r="BB37">
            <v>656.69600000000003</v>
          </cell>
          <cell r="BC37">
            <v>584.69680000000005</v>
          </cell>
          <cell r="BD37">
            <v>519.8184</v>
          </cell>
          <cell r="BE37">
            <v>468.3904</v>
          </cell>
          <cell r="BF37">
            <v>464.43439999999998</v>
          </cell>
          <cell r="BG37">
            <v>496.08240000000001</v>
          </cell>
          <cell r="BH37">
            <v>477.09359999999998</v>
          </cell>
          <cell r="CF37">
            <v>670.93759999999997</v>
          </cell>
          <cell r="CG37">
            <v>786.45280000000002</v>
          </cell>
          <cell r="CH37">
            <v>877.44079999999997</v>
          </cell>
          <cell r="CI37">
            <v>765.88160000000005</v>
          </cell>
          <cell r="CJ37">
            <v>704.95920000000001</v>
          </cell>
          <cell r="CK37">
            <v>625.83920000000001</v>
          </cell>
          <cell r="CL37">
            <v>614.76239999999996</v>
          </cell>
          <cell r="CM37">
            <v>647.20159999999998</v>
          </cell>
          <cell r="CN37">
            <v>613.18000000000006</v>
          </cell>
        </row>
        <row r="38">
          <cell r="D38">
            <v>168</v>
          </cell>
          <cell r="E38">
            <v>176</v>
          </cell>
          <cell r="F38">
            <v>152</v>
          </cell>
          <cell r="G38">
            <v>111</v>
          </cell>
          <cell r="H38">
            <v>124</v>
          </cell>
          <cell r="I38">
            <v>207</v>
          </cell>
          <cell r="J38">
            <v>148</v>
          </cell>
          <cell r="K38">
            <v>204</v>
          </cell>
          <cell r="L38">
            <v>270</v>
          </cell>
          <cell r="M38">
            <v>267</v>
          </cell>
          <cell r="N38">
            <v>240</v>
          </cell>
          <cell r="O38">
            <v>274</v>
          </cell>
          <cell r="P38">
            <v>249</v>
          </cell>
          <cell r="Q38">
            <v>247</v>
          </cell>
          <cell r="R38">
            <v>270</v>
          </cell>
          <cell r="S38">
            <v>1290</v>
          </cell>
          <cell r="T38">
            <v>1367</v>
          </cell>
          <cell r="U38">
            <v>1492</v>
          </cell>
          <cell r="V38">
            <v>1514</v>
          </cell>
          <cell r="W38">
            <v>1235</v>
          </cell>
          <cell r="X38">
            <v>1138</v>
          </cell>
          <cell r="Y38">
            <v>1178</v>
          </cell>
          <cell r="Z38">
            <v>1197</v>
          </cell>
          <cell r="AA38">
            <v>1127</v>
          </cell>
          <cell r="AB38">
            <v>1060</v>
          </cell>
          <cell r="AC38">
            <v>852</v>
          </cell>
          <cell r="AD38">
            <v>699</v>
          </cell>
          <cell r="AE38">
            <v>459</v>
          </cell>
          <cell r="AF38">
            <v>564</v>
          </cell>
          <cell r="AG38">
            <v>9</v>
          </cell>
          <cell r="AZ38">
            <v>656</v>
          </cell>
          <cell r="BA38">
            <v>651</v>
          </cell>
          <cell r="BB38">
            <v>600</v>
          </cell>
          <cell r="BC38">
            <v>454</v>
          </cell>
          <cell r="BD38">
            <v>380</v>
          </cell>
          <cell r="BE38">
            <v>455</v>
          </cell>
          <cell r="BF38">
            <v>487</v>
          </cell>
          <cell r="BG38">
            <v>451</v>
          </cell>
          <cell r="BH38">
            <v>446</v>
          </cell>
          <cell r="CF38">
            <v>711</v>
          </cell>
          <cell r="CG38">
            <v>841</v>
          </cell>
          <cell r="CH38">
            <v>914</v>
          </cell>
          <cell r="CI38">
            <v>781</v>
          </cell>
          <cell r="CJ38">
            <v>758</v>
          </cell>
          <cell r="CK38">
            <v>723</v>
          </cell>
          <cell r="CL38">
            <v>710</v>
          </cell>
          <cell r="CM38">
            <v>676</v>
          </cell>
          <cell r="CN38">
            <v>614</v>
          </cell>
        </row>
        <row r="39">
          <cell r="D39">
            <v>0.96199999999999997</v>
          </cell>
          <cell r="E39">
            <v>1.6120000000000001</v>
          </cell>
          <cell r="F39">
            <v>1.6639999999999999</v>
          </cell>
          <cell r="G39">
            <v>2.5739999999999998</v>
          </cell>
          <cell r="H39">
            <v>1.079</v>
          </cell>
          <cell r="I39">
            <v>1.0009999999999999</v>
          </cell>
          <cell r="J39">
            <v>0.871</v>
          </cell>
          <cell r="K39">
            <v>3.1589999999999998</v>
          </cell>
          <cell r="L39">
            <v>4.3940000000000001</v>
          </cell>
          <cell r="M39">
            <v>4.03</v>
          </cell>
          <cell r="N39">
            <v>4.0299999999999994</v>
          </cell>
          <cell r="O39">
            <v>4.8620000000000001</v>
          </cell>
          <cell r="P39">
            <v>4.2119999999999997</v>
          </cell>
          <cell r="Q39">
            <v>4.7449999999999992</v>
          </cell>
          <cell r="R39">
            <v>4.5759999999999996</v>
          </cell>
          <cell r="S39">
            <v>24.101999999999997</v>
          </cell>
          <cell r="T39">
            <v>28.86</v>
          </cell>
          <cell r="U39">
            <v>34.813999999999993</v>
          </cell>
          <cell r="V39">
            <v>38.727000000000004</v>
          </cell>
          <cell r="W39">
            <v>33.956000000000003</v>
          </cell>
          <cell r="X39">
            <v>32.512999999999998</v>
          </cell>
          <cell r="Y39">
            <v>29.9</v>
          </cell>
          <cell r="Z39">
            <v>32.942</v>
          </cell>
          <cell r="AA39">
            <v>36.777000000000001</v>
          </cell>
          <cell r="AB39">
            <v>38.817999999999998</v>
          </cell>
          <cell r="AC39">
            <v>33.981999999999999</v>
          </cell>
          <cell r="AD39">
            <v>27.104999999999997</v>
          </cell>
          <cell r="AE39">
            <v>24.062999999999999</v>
          </cell>
          <cell r="AF39">
            <v>35.970999999999997</v>
          </cell>
          <cell r="AG39">
            <v>0.79300000000000004</v>
          </cell>
          <cell r="AZ39">
            <v>14.651</v>
          </cell>
          <cell r="BA39">
            <v>17.718999999999998</v>
          </cell>
          <cell r="BB39">
            <v>19.448</v>
          </cell>
          <cell r="BC39">
            <v>16.497</v>
          </cell>
          <cell r="BD39">
            <v>14.962999999999999</v>
          </cell>
          <cell r="BE39">
            <v>14.157</v>
          </cell>
          <cell r="BF39">
            <v>14.859</v>
          </cell>
          <cell r="BG39">
            <v>16.288999999999998</v>
          </cell>
          <cell r="BH39">
            <v>16.939</v>
          </cell>
          <cell r="CF39">
            <v>14.209</v>
          </cell>
          <cell r="CG39">
            <v>17.094999999999999</v>
          </cell>
          <cell r="CH39">
            <v>19.279</v>
          </cell>
          <cell r="CI39">
            <v>17.459</v>
          </cell>
          <cell r="CJ39">
            <v>17.55</v>
          </cell>
          <cell r="CK39">
            <v>15.742999999999999</v>
          </cell>
          <cell r="CL39">
            <v>18.082999999999998</v>
          </cell>
          <cell r="CM39">
            <v>20.488</v>
          </cell>
          <cell r="CN39">
            <v>21.878999999999998</v>
          </cell>
        </row>
        <row r="40">
          <cell r="D40">
            <v>28.396799999999999</v>
          </cell>
          <cell r="E40">
            <v>20.253599999999999</v>
          </cell>
          <cell r="F40">
            <v>31.7376</v>
          </cell>
          <cell r="G40">
            <v>37.166400000000003</v>
          </cell>
          <cell r="H40">
            <v>27.979199999999999</v>
          </cell>
          <cell r="I40">
            <v>31.111200000000004</v>
          </cell>
          <cell r="J40">
            <v>24.638400000000001</v>
          </cell>
          <cell r="K40">
            <v>58.672800000000009</v>
          </cell>
          <cell r="L40">
            <v>74.750399999999999</v>
          </cell>
          <cell r="M40">
            <v>78.926400000000001</v>
          </cell>
          <cell r="N40">
            <v>74.124000000000009</v>
          </cell>
          <cell r="O40">
            <v>79.552800000000005</v>
          </cell>
          <cell r="P40">
            <v>69.530400000000014</v>
          </cell>
          <cell r="Q40">
            <v>73.080000000000013</v>
          </cell>
          <cell r="R40">
            <v>84.1464</v>
          </cell>
          <cell r="S40">
            <v>335.75040000000001</v>
          </cell>
          <cell r="T40">
            <v>354.12480000000005</v>
          </cell>
          <cell r="U40">
            <v>389.62080000000003</v>
          </cell>
          <cell r="V40">
            <v>404.86320000000001</v>
          </cell>
          <cell r="W40">
            <v>356.42160000000001</v>
          </cell>
          <cell r="X40">
            <v>323.22239999999999</v>
          </cell>
          <cell r="Y40">
            <v>288.77040000000005</v>
          </cell>
          <cell r="Z40">
            <v>284.8032</v>
          </cell>
          <cell r="AA40">
            <v>301.71600000000001</v>
          </cell>
          <cell r="AB40">
            <v>287.72640000000001</v>
          </cell>
          <cell r="AC40">
            <v>236.36160000000001</v>
          </cell>
          <cell r="AD40">
            <v>182.28240000000002</v>
          </cell>
          <cell r="AE40">
            <v>148.66560000000001</v>
          </cell>
          <cell r="AF40">
            <v>190.21680000000001</v>
          </cell>
          <cell r="AG40">
            <v>1.6704000000000001</v>
          </cell>
          <cell r="AZ40">
            <v>177.06240000000003</v>
          </cell>
          <cell r="BA40">
            <v>182.0736</v>
          </cell>
          <cell r="BB40">
            <v>173.304</v>
          </cell>
          <cell r="BC40">
            <v>154.3032</v>
          </cell>
          <cell r="BD40">
            <v>137.1816</v>
          </cell>
          <cell r="BE40">
            <v>123.60960000000001</v>
          </cell>
          <cell r="BF40">
            <v>122.5656</v>
          </cell>
          <cell r="BG40">
            <v>130.91760000000002</v>
          </cell>
          <cell r="BH40">
            <v>125.9064</v>
          </cell>
          <cell r="CF40">
            <v>177.06240000000003</v>
          </cell>
          <cell r="CG40">
            <v>207.5472</v>
          </cell>
          <cell r="CH40">
            <v>231.5592</v>
          </cell>
          <cell r="CI40">
            <v>202.11840000000001</v>
          </cell>
          <cell r="CJ40">
            <v>186.04080000000002</v>
          </cell>
          <cell r="CK40">
            <v>165.16080000000002</v>
          </cell>
          <cell r="CL40">
            <v>162.23760000000001</v>
          </cell>
          <cell r="CM40">
            <v>170.79840000000002</v>
          </cell>
          <cell r="CN40">
            <v>161.82000000000002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25</v>
          </cell>
        </row>
        <row r="44">
          <cell r="C44">
            <v>584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144</v>
          </cell>
        </row>
        <row r="63">
          <cell r="C63">
            <v>0</v>
          </cell>
        </row>
        <row r="74">
          <cell r="C74">
            <v>10</v>
          </cell>
          <cell r="F74">
            <v>13</v>
          </cell>
        </row>
      </sheetData>
      <sheetData sheetId="2">
        <row r="21">
          <cell r="G21">
            <v>0</v>
          </cell>
          <cell r="H21">
            <v>3</v>
          </cell>
          <cell r="I21">
            <v>1</v>
          </cell>
          <cell r="J21">
            <v>4</v>
          </cell>
          <cell r="K21">
            <v>2</v>
          </cell>
          <cell r="L21">
            <v>5</v>
          </cell>
          <cell r="M21">
            <v>3</v>
          </cell>
          <cell r="N21">
            <v>9</v>
          </cell>
          <cell r="O21">
            <v>0</v>
          </cell>
          <cell r="P21">
            <v>4</v>
          </cell>
          <cell r="Q21">
            <v>2</v>
          </cell>
          <cell r="R21">
            <v>7</v>
          </cell>
          <cell r="S21">
            <v>2</v>
          </cell>
          <cell r="T21">
            <v>1</v>
          </cell>
          <cell r="U21">
            <v>2</v>
          </cell>
          <cell r="V21">
            <v>6</v>
          </cell>
          <cell r="W21">
            <v>2</v>
          </cell>
          <cell r="X21">
            <v>4</v>
          </cell>
          <cell r="Y21">
            <v>12</v>
          </cell>
          <cell r="Z21">
            <v>25</v>
          </cell>
          <cell r="AA21">
            <v>20</v>
          </cell>
          <cell r="AB21">
            <v>31</v>
          </cell>
          <cell r="AC21">
            <v>21</v>
          </cell>
          <cell r="AD21">
            <v>41</v>
          </cell>
          <cell r="AE21">
            <v>39</v>
          </cell>
          <cell r="AF21">
            <v>63</v>
          </cell>
        </row>
      </sheetData>
      <sheetData sheetId="3">
        <row r="21">
          <cell r="J21">
            <v>2</v>
          </cell>
          <cell r="K21">
            <v>1</v>
          </cell>
          <cell r="L21">
            <v>4</v>
          </cell>
          <cell r="M21">
            <v>8</v>
          </cell>
        </row>
        <row r="22">
          <cell r="J22"/>
          <cell r="K22"/>
          <cell r="L22">
            <v>1</v>
          </cell>
          <cell r="M22"/>
        </row>
        <row r="23">
          <cell r="J23"/>
          <cell r="K23"/>
          <cell r="L23">
            <v>6</v>
          </cell>
          <cell r="M23">
            <v>2</v>
          </cell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1136</v>
          </cell>
        </row>
        <row r="24">
          <cell r="B24">
            <v>52</v>
          </cell>
        </row>
      </sheetData>
      <sheetData sheetId="5">
        <row r="11">
          <cell r="C11">
            <v>28</v>
          </cell>
        </row>
        <row r="13">
          <cell r="C13">
            <v>27</v>
          </cell>
        </row>
        <row r="114">
          <cell r="H114">
            <v>0</v>
          </cell>
          <cell r="I114">
            <v>1</v>
          </cell>
          <cell r="J114">
            <v>1</v>
          </cell>
          <cell r="K114">
            <v>3</v>
          </cell>
          <cell r="L114">
            <v>0</v>
          </cell>
          <cell r="M114">
            <v>1</v>
          </cell>
          <cell r="N114">
            <v>1</v>
          </cell>
          <cell r="O114">
            <v>3</v>
          </cell>
          <cell r="P114">
            <v>0</v>
          </cell>
          <cell r="Q114">
            <v>5</v>
          </cell>
          <cell r="R114">
            <v>3</v>
          </cell>
          <cell r="S114">
            <v>4</v>
          </cell>
          <cell r="T114">
            <v>1</v>
          </cell>
          <cell r="U114">
            <v>1</v>
          </cell>
          <cell r="V114">
            <v>1</v>
          </cell>
          <cell r="W114">
            <v>6</v>
          </cell>
          <cell r="X114">
            <v>7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36</v>
          </cell>
        </row>
        <row r="234">
          <cell r="C234">
            <v>17</v>
          </cell>
        </row>
        <row r="241">
          <cell r="AN241">
            <v>79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165</v>
          </cell>
        </row>
        <row r="22">
          <cell r="C22">
            <v>638</v>
          </cell>
        </row>
        <row r="23">
          <cell r="C23">
            <v>28</v>
          </cell>
        </row>
        <row r="32">
          <cell r="E32">
            <v>9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37</v>
          </cell>
        </row>
      </sheetData>
      <sheetData sheetId="8"/>
      <sheetData sheetId="9">
        <row r="12">
          <cell r="G12"/>
          <cell r="H12"/>
          <cell r="I12">
            <v>1</v>
          </cell>
          <cell r="J12"/>
          <cell r="K12"/>
          <cell r="L12">
            <v>1</v>
          </cell>
          <cell r="M12">
            <v>1</v>
          </cell>
          <cell r="N12"/>
          <cell r="O12">
            <v>2</v>
          </cell>
          <cell r="P12">
            <v>5</v>
          </cell>
          <cell r="Q12">
            <v>8</v>
          </cell>
          <cell r="R12">
            <v>5</v>
          </cell>
          <cell r="S12">
            <v>5</v>
          </cell>
          <cell r="T12">
            <v>10</v>
          </cell>
          <cell r="U12">
            <v>6</v>
          </cell>
          <cell r="V12">
            <v>6</v>
          </cell>
          <cell r="W12">
            <v>6</v>
          </cell>
          <cell r="X12">
            <v>14</v>
          </cell>
          <cell r="Y12">
            <v>33</v>
          </cell>
          <cell r="Z12">
            <v>44</v>
          </cell>
          <cell r="AA12">
            <v>47</v>
          </cell>
          <cell r="AB12">
            <v>84</v>
          </cell>
        </row>
        <row r="48">
          <cell r="G48">
            <v>7</v>
          </cell>
          <cell r="H48">
            <v>7</v>
          </cell>
          <cell r="I48">
            <v>4</v>
          </cell>
          <cell r="J48">
            <v>2</v>
          </cell>
          <cell r="K48">
            <v>6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13</v>
          </cell>
        </row>
        <row r="31">
          <cell r="C31">
            <v>7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10</v>
          </cell>
          <cell r="D38">
            <v>2</v>
          </cell>
          <cell r="E38">
            <v>2</v>
          </cell>
        </row>
        <row r="40">
          <cell r="C40">
            <v>6</v>
          </cell>
          <cell r="D40">
            <v>4</v>
          </cell>
          <cell r="E40">
            <v>10</v>
          </cell>
        </row>
        <row r="41">
          <cell r="C41">
            <v>12</v>
          </cell>
          <cell r="D41">
            <v>6</v>
          </cell>
          <cell r="E41">
            <v>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10</v>
          </cell>
        </row>
      </sheetData>
      <sheetData sheetId="27"/>
      <sheetData sheetId="28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54</v>
          </cell>
          <cell r="X10">
            <v>53</v>
          </cell>
          <cell r="Y10">
            <v>51</v>
          </cell>
          <cell r="Z10">
            <v>42</v>
          </cell>
        </row>
        <row r="34">
          <cell r="D34">
            <v>603</v>
          </cell>
        </row>
      </sheetData>
      <sheetData sheetId="15"/>
      <sheetData sheetId="16"/>
      <sheetData sheetId="17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449</v>
          </cell>
        </row>
        <row r="64">
          <cell r="G64">
            <v>19</v>
          </cell>
          <cell r="H64">
            <v>38</v>
          </cell>
          <cell r="I64">
            <v>21</v>
          </cell>
          <cell r="J64">
            <v>9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5</v>
          </cell>
          <cell r="K11">
            <v>4</v>
          </cell>
          <cell r="L11">
            <v>7</v>
          </cell>
          <cell r="M11">
            <v>17</v>
          </cell>
          <cell r="N11">
            <v>12</v>
          </cell>
          <cell r="O11">
            <v>34</v>
          </cell>
          <cell r="P11">
            <v>25</v>
          </cell>
          <cell r="Q11">
            <v>63</v>
          </cell>
          <cell r="R11">
            <v>40</v>
          </cell>
          <cell r="S11">
            <v>87</v>
          </cell>
          <cell r="T11">
            <v>64</v>
          </cell>
          <cell r="U11">
            <v>148</v>
          </cell>
          <cell r="V11">
            <v>88</v>
          </cell>
          <cell r="W11">
            <v>194</v>
          </cell>
          <cell r="X11">
            <v>141</v>
          </cell>
          <cell r="Y11">
            <v>305</v>
          </cell>
          <cell r="Z11">
            <v>176</v>
          </cell>
          <cell r="AA11">
            <v>364</v>
          </cell>
        </row>
        <row r="20">
          <cell r="E20">
            <v>3546</v>
          </cell>
        </row>
        <row r="28">
          <cell r="E28">
            <v>1710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1285</v>
          </cell>
        </row>
      </sheetData>
      <sheetData sheetId="16"/>
      <sheetData sheetId="17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52</v>
          </cell>
          <cell r="X10">
            <v>44</v>
          </cell>
          <cell r="Y10">
            <v>59</v>
          </cell>
          <cell r="Z10">
            <v>49</v>
          </cell>
        </row>
        <row r="34">
          <cell r="D34">
            <v>554</v>
          </cell>
        </row>
        <row r="69">
          <cell r="G69">
            <v>56</v>
          </cell>
          <cell r="H69">
            <v>62</v>
          </cell>
        </row>
      </sheetData>
      <sheetData sheetId="16"/>
      <sheetData sheetId="17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465</v>
          </cell>
        </row>
      </sheetData>
      <sheetData sheetId="16"/>
      <sheetData sheetId="1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6</v>
          </cell>
          <cell r="K11">
            <v>4</v>
          </cell>
          <cell r="L11">
            <v>7</v>
          </cell>
          <cell r="M11">
            <v>18</v>
          </cell>
          <cell r="N11">
            <v>12</v>
          </cell>
          <cell r="O11">
            <v>32</v>
          </cell>
          <cell r="P11">
            <v>24</v>
          </cell>
          <cell r="Q11">
            <v>64</v>
          </cell>
          <cell r="R11">
            <v>45</v>
          </cell>
          <cell r="S11">
            <v>89</v>
          </cell>
          <cell r="T11">
            <v>63</v>
          </cell>
          <cell r="U11">
            <v>149</v>
          </cell>
          <cell r="V11">
            <v>91</v>
          </cell>
          <cell r="W11">
            <v>203</v>
          </cell>
          <cell r="X11">
            <v>139</v>
          </cell>
          <cell r="Y11">
            <v>310</v>
          </cell>
          <cell r="Z11">
            <v>174</v>
          </cell>
          <cell r="AA11">
            <v>348</v>
          </cell>
        </row>
        <row r="20">
          <cell r="E20">
            <v>3593</v>
          </cell>
        </row>
        <row r="28">
          <cell r="E28">
            <v>1726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1319</v>
          </cell>
        </row>
      </sheetData>
      <sheetData sheetId="17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55</v>
          </cell>
          <cell r="X10">
            <v>40</v>
          </cell>
          <cell r="Y10">
            <v>55</v>
          </cell>
          <cell r="Z10">
            <v>50</v>
          </cell>
        </row>
        <row r="34">
          <cell r="D34">
            <v>523</v>
          </cell>
        </row>
        <row r="69">
          <cell r="G69">
            <v>56</v>
          </cell>
          <cell r="H69">
            <v>62</v>
          </cell>
        </row>
      </sheetData>
      <sheetData sheetId="17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492</v>
          </cell>
        </row>
      </sheetData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35</v>
          </cell>
        </row>
        <row r="44">
          <cell r="C44">
            <v>702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211</v>
          </cell>
        </row>
        <row r="63">
          <cell r="C63">
            <v>0</v>
          </cell>
        </row>
        <row r="74">
          <cell r="C74">
            <v>25</v>
          </cell>
          <cell r="F74">
            <v>15</v>
          </cell>
        </row>
      </sheetData>
      <sheetData sheetId="2">
        <row r="21">
          <cell r="G21">
            <v>18</v>
          </cell>
          <cell r="H21">
            <v>25</v>
          </cell>
          <cell r="I21">
            <v>12</v>
          </cell>
          <cell r="J21">
            <v>23</v>
          </cell>
          <cell r="K21">
            <v>5</v>
          </cell>
          <cell r="L21">
            <v>25</v>
          </cell>
          <cell r="M21">
            <v>10</v>
          </cell>
          <cell r="N21">
            <v>21</v>
          </cell>
          <cell r="O21">
            <v>9</v>
          </cell>
          <cell r="P21">
            <v>17</v>
          </cell>
          <cell r="Q21">
            <v>9</v>
          </cell>
          <cell r="R21">
            <v>12</v>
          </cell>
          <cell r="S21">
            <v>11</v>
          </cell>
          <cell r="T21">
            <v>16</v>
          </cell>
          <cell r="U21">
            <v>10</v>
          </cell>
          <cell r="V21">
            <v>13</v>
          </cell>
          <cell r="W21">
            <v>1</v>
          </cell>
          <cell r="X21">
            <v>2</v>
          </cell>
          <cell r="Y21">
            <v>28</v>
          </cell>
          <cell r="Z21">
            <v>36</v>
          </cell>
          <cell r="AA21">
            <v>14</v>
          </cell>
          <cell r="AB21">
            <v>47</v>
          </cell>
          <cell r="AC21">
            <v>19</v>
          </cell>
          <cell r="AD21">
            <v>39</v>
          </cell>
          <cell r="AE21">
            <v>22</v>
          </cell>
          <cell r="AF21">
            <v>76</v>
          </cell>
        </row>
      </sheetData>
      <sheetData sheetId="3">
        <row r="21">
          <cell r="J21"/>
          <cell r="K21"/>
          <cell r="L21">
            <v>3</v>
          </cell>
          <cell r="M21">
            <v>8</v>
          </cell>
        </row>
        <row r="22">
          <cell r="J22"/>
          <cell r="K22"/>
          <cell r="L22">
            <v>1</v>
          </cell>
          <cell r="M22">
            <v>2</v>
          </cell>
        </row>
        <row r="23">
          <cell r="J23"/>
          <cell r="K23"/>
          <cell r="L23"/>
          <cell r="M23">
            <v>1</v>
          </cell>
        </row>
        <row r="24">
          <cell r="J24">
            <v>1</v>
          </cell>
          <cell r="K24"/>
          <cell r="L24">
            <v>1</v>
          </cell>
          <cell r="M24"/>
        </row>
      </sheetData>
      <sheetData sheetId="4">
        <row r="12">
          <cell r="B12">
            <v>2828</v>
          </cell>
        </row>
        <row r="24">
          <cell r="B24">
            <v>128</v>
          </cell>
        </row>
      </sheetData>
      <sheetData sheetId="5">
        <row r="11">
          <cell r="C11">
            <v>22</v>
          </cell>
        </row>
        <row r="13">
          <cell r="C13">
            <v>19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2</v>
          </cell>
          <cell r="M114">
            <v>1</v>
          </cell>
          <cell r="N114">
            <v>0</v>
          </cell>
          <cell r="O114">
            <v>2</v>
          </cell>
          <cell r="P114">
            <v>1</v>
          </cell>
          <cell r="Q114">
            <v>4</v>
          </cell>
          <cell r="R114">
            <v>4</v>
          </cell>
          <cell r="S114">
            <v>4</v>
          </cell>
          <cell r="T114">
            <v>3</v>
          </cell>
          <cell r="U114">
            <v>11</v>
          </cell>
          <cell r="V114">
            <v>3</v>
          </cell>
          <cell r="W114">
            <v>4</v>
          </cell>
          <cell r="X114">
            <v>5</v>
          </cell>
          <cell r="Y114">
            <v>8</v>
          </cell>
        </row>
        <row r="127">
          <cell r="H127"/>
          <cell r="I127"/>
          <cell r="J127"/>
          <cell r="K127"/>
          <cell r="L127"/>
          <cell r="M127">
            <v>1</v>
          </cell>
          <cell r="N127"/>
          <cell r="O127"/>
          <cell r="P127"/>
          <cell r="Q127"/>
          <cell r="R127">
            <v>1</v>
          </cell>
          <cell r="S127"/>
          <cell r="T127"/>
          <cell r="U127">
            <v>2</v>
          </cell>
          <cell r="V127"/>
          <cell r="W127"/>
          <cell r="X127">
            <v>1</v>
          </cell>
          <cell r="Y127">
            <v>3</v>
          </cell>
        </row>
        <row r="186">
          <cell r="C186">
            <v>63</v>
          </cell>
        </row>
        <row r="234">
          <cell r="C234">
            <v>10</v>
          </cell>
        </row>
        <row r="241">
          <cell r="AN241">
            <v>32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346</v>
          </cell>
        </row>
        <row r="22">
          <cell r="C22">
            <v>986</v>
          </cell>
        </row>
        <row r="23">
          <cell r="C23">
            <v>75</v>
          </cell>
        </row>
        <row r="32">
          <cell r="E32">
            <v>7</v>
          </cell>
        </row>
      </sheetData>
      <sheetData sheetId="7">
        <row r="120">
          <cell r="AE120">
            <v>0</v>
          </cell>
          <cell r="AF120">
            <v>1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2</v>
          </cell>
          <cell r="AF136">
            <v>56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2</v>
          </cell>
          <cell r="J12">
            <v>4</v>
          </cell>
          <cell r="K12">
            <v>1</v>
          </cell>
          <cell r="L12">
            <v>0</v>
          </cell>
          <cell r="M12">
            <v>1</v>
          </cell>
          <cell r="N12">
            <v>1</v>
          </cell>
          <cell r="O12">
            <v>1</v>
          </cell>
          <cell r="P12">
            <v>3</v>
          </cell>
          <cell r="Q12">
            <v>9</v>
          </cell>
          <cell r="R12">
            <v>10</v>
          </cell>
          <cell r="S12">
            <v>6</v>
          </cell>
          <cell r="T12">
            <v>5</v>
          </cell>
          <cell r="U12">
            <v>7</v>
          </cell>
          <cell r="V12">
            <v>6</v>
          </cell>
          <cell r="W12">
            <v>11</v>
          </cell>
          <cell r="X12">
            <v>29</v>
          </cell>
          <cell r="Y12">
            <v>28</v>
          </cell>
          <cell r="Z12">
            <v>29</v>
          </cell>
          <cell r="AA12">
            <v>48</v>
          </cell>
          <cell r="AB12">
            <v>70</v>
          </cell>
        </row>
        <row r="48">
          <cell r="G48">
            <v>5</v>
          </cell>
          <cell r="H48">
            <v>3</v>
          </cell>
          <cell r="I48">
            <v>2</v>
          </cell>
          <cell r="J48">
            <v>4</v>
          </cell>
          <cell r="K48">
            <v>3</v>
          </cell>
          <cell r="L48">
            <v>8</v>
          </cell>
        </row>
      </sheetData>
      <sheetData sheetId="10"/>
      <sheetData sheetId="11"/>
      <sheetData sheetId="12">
        <row r="97">
          <cell r="C97">
            <v>32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14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8</v>
          </cell>
        </row>
        <row r="31">
          <cell r="C31">
            <v>4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3</v>
          </cell>
          <cell r="E38">
            <v>1</v>
          </cell>
        </row>
        <row r="40">
          <cell r="C40">
            <v>8</v>
          </cell>
          <cell r="D40">
            <v>3</v>
          </cell>
          <cell r="E40">
            <v>7</v>
          </cell>
        </row>
        <row r="41">
          <cell r="C41">
            <v>15</v>
          </cell>
          <cell r="D41">
            <v>7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34</v>
          </cell>
        </row>
      </sheetData>
      <sheetData sheetId="27"/>
      <sheetData sheetId="28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5</v>
          </cell>
          <cell r="L11">
            <v>5</v>
          </cell>
          <cell r="M11">
            <v>6</v>
          </cell>
          <cell r="N11">
            <v>5</v>
          </cell>
          <cell r="O11">
            <v>24</v>
          </cell>
          <cell r="P11">
            <v>11</v>
          </cell>
          <cell r="Q11">
            <v>33</v>
          </cell>
          <cell r="R11">
            <v>22</v>
          </cell>
          <cell r="S11">
            <v>50</v>
          </cell>
          <cell r="T11">
            <v>36</v>
          </cell>
          <cell r="U11">
            <v>84</v>
          </cell>
          <cell r="V11">
            <v>68</v>
          </cell>
          <cell r="W11">
            <v>102</v>
          </cell>
        </row>
        <row r="20">
          <cell r="E20">
            <v>1891</v>
          </cell>
        </row>
        <row r="28">
          <cell r="E28">
            <v>772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848</v>
          </cell>
        </row>
      </sheetData>
      <sheetData sheetId="15"/>
      <sheetData sheetId="16"/>
      <sheetData sheetId="17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35</v>
          </cell>
          <cell r="X10">
            <v>36</v>
          </cell>
          <cell r="Y10">
            <v>38</v>
          </cell>
          <cell r="Z10">
            <v>36</v>
          </cell>
        </row>
        <row r="34">
          <cell r="D34">
            <v>362</v>
          </cell>
        </row>
      </sheetData>
      <sheetData sheetId="15"/>
      <sheetData sheetId="16"/>
      <sheetData sheetId="17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164</v>
          </cell>
        </row>
        <row r="64">
          <cell r="G64">
            <v>13</v>
          </cell>
          <cell r="H64">
            <v>30</v>
          </cell>
          <cell r="I64">
            <v>26</v>
          </cell>
          <cell r="J64">
            <v>12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3</v>
          </cell>
          <cell r="K11">
            <v>4</v>
          </cell>
          <cell r="L11">
            <v>4</v>
          </cell>
          <cell r="M11">
            <v>6</v>
          </cell>
          <cell r="N11">
            <v>7</v>
          </cell>
          <cell r="O11">
            <v>26</v>
          </cell>
          <cell r="P11">
            <v>12</v>
          </cell>
          <cell r="Q11">
            <v>30</v>
          </cell>
          <cell r="R11">
            <v>18</v>
          </cell>
          <cell r="S11">
            <v>51</v>
          </cell>
          <cell r="T11">
            <v>35</v>
          </cell>
          <cell r="U11">
            <v>79</v>
          </cell>
          <cell r="V11">
            <v>61</v>
          </cell>
          <cell r="W11">
            <v>125</v>
          </cell>
          <cell r="X11">
            <v>84</v>
          </cell>
          <cell r="Y11">
            <v>182</v>
          </cell>
          <cell r="Z11">
            <v>117</v>
          </cell>
          <cell r="AA11">
            <v>220</v>
          </cell>
        </row>
        <row r="20">
          <cell r="E20">
            <v>1967</v>
          </cell>
        </row>
        <row r="28">
          <cell r="E28">
            <v>861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848</v>
          </cell>
        </row>
      </sheetData>
      <sheetData sheetId="16"/>
      <sheetData sheetId="17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45</v>
          </cell>
          <cell r="X10">
            <v>34</v>
          </cell>
          <cell r="Y10">
            <v>34</v>
          </cell>
          <cell r="Z10">
            <v>37</v>
          </cell>
        </row>
        <row r="34">
          <cell r="D34">
            <v>391</v>
          </cell>
        </row>
        <row r="69">
          <cell r="G69">
            <v>28</v>
          </cell>
          <cell r="H69">
            <v>30</v>
          </cell>
        </row>
      </sheetData>
      <sheetData sheetId="16"/>
      <sheetData sheetId="17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180</v>
          </cell>
        </row>
        <row r="64">
          <cell r="G64">
            <v>14</v>
          </cell>
          <cell r="H64">
            <v>26</v>
          </cell>
          <cell r="I64">
            <v>24</v>
          </cell>
          <cell r="J64">
            <v>14</v>
          </cell>
          <cell r="K64">
            <v>3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3</v>
          </cell>
          <cell r="K11">
            <v>4</v>
          </cell>
          <cell r="L11">
            <v>4</v>
          </cell>
          <cell r="M11">
            <v>10</v>
          </cell>
          <cell r="N11">
            <v>8</v>
          </cell>
          <cell r="O11">
            <v>21</v>
          </cell>
          <cell r="P11">
            <v>9</v>
          </cell>
          <cell r="Q11">
            <v>28</v>
          </cell>
          <cell r="R11">
            <v>14</v>
          </cell>
          <cell r="S11">
            <v>56</v>
          </cell>
          <cell r="T11">
            <v>26</v>
          </cell>
          <cell r="U11">
            <v>91</v>
          </cell>
          <cell r="V11">
            <v>61</v>
          </cell>
          <cell r="W11">
            <v>139</v>
          </cell>
          <cell r="X11">
            <v>91</v>
          </cell>
          <cell r="Y11">
            <v>208</v>
          </cell>
          <cell r="Z11">
            <v>125</v>
          </cell>
          <cell r="AA11">
            <v>224</v>
          </cell>
        </row>
        <row r="20">
          <cell r="E20">
            <v>2179</v>
          </cell>
        </row>
        <row r="28">
          <cell r="E28">
            <v>916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847</v>
          </cell>
        </row>
      </sheetData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63</v>
          </cell>
          <cell r="X10">
            <v>54</v>
          </cell>
          <cell r="Y10">
            <v>44</v>
          </cell>
          <cell r="Z10">
            <v>10</v>
          </cell>
        </row>
        <row r="34">
          <cell r="D34">
            <v>490</v>
          </cell>
        </row>
        <row r="69">
          <cell r="G69">
            <v>28</v>
          </cell>
          <cell r="H69">
            <v>27</v>
          </cell>
        </row>
      </sheetData>
      <sheetData sheetId="17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184</v>
          </cell>
        </row>
        <row r="64">
          <cell r="G64">
            <v>15</v>
          </cell>
          <cell r="H64">
            <v>21</v>
          </cell>
          <cell r="I64">
            <v>18</v>
          </cell>
          <cell r="J64">
            <v>7</v>
          </cell>
          <cell r="K64">
            <v>5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9</v>
          </cell>
          <cell r="K11">
            <v>9</v>
          </cell>
          <cell r="L11">
            <v>6</v>
          </cell>
          <cell r="M11">
            <v>22</v>
          </cell>
          <cell r="N11">
            <v>12</v>
          </cell>
          <cell r="O11">
            <v>33</v>
          </cell>
          <cell r="P11">
            <v>26</v>
          </cell>
          <cell r="Q11">
            <v>47</v>
          </cell>
          <cell r="R11">
            <v>42</v>
          </cell>
          <cell r="S11">
            <v>88</v>
          </cell>
          <cell r="T11">
            <v>43</v>
          </cell>
          <cell r="U11">
            <v>132</v>
          </cell>
          <cell r="V11">
            <v>72</v>
          </cell>
          <cell r="W11">
            <v>181</v>
          </cell>
        </row>
        <row r="20">
          <cell r="E20">
            <v>2883</v>
          </cell>
        </row>
        <row r="28">
          <cell r="E28">
            <v>1351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763</v>
          </cell>
        </row>
      </sheetData>
      <sheetData sheetId="15"/>
      <sheetData sheetId="16"/>
      <sheetData sheetId="17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46</v>
          </cell>
          <cell r="X10">
            <v>46</v>
          </cell>
          <cell r="Y10">
            <v>41</v>
          </cell>
          <cell r="Z10">
            <v>43</v>
          </cell>
        </row>
        <row r="34">
          <cell r="D34">
            <v>498</v>
          </cell>
        </row>
      </sheetData>
      <sheetData sheetId="15"/>
      <sheetData sheetId="16"/>
      <sheetData sheetId="17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235</v>
          </cell>
        </row>
        <row r="64">
          <cell r="G64">
            <v>19</v>
          </cell>
          <cell r="H64">
            <v>23</v>
          </cell>
          <cell r="I64">
            <v>26</v>
          </cell>
          <cell r="J64">
            <v>13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8</v>
          </cell>
          <cell r="K11">
            <v>8</v>
          </cell>
          <cell r="L11">
            <v>8</v>
          </cell>
          <cell r="M11">
            <v>20</v>
          </cell>
          <cell r="N11">
            <v>11</v>
          </cell>
          <cell r="O11">
            <v>36</v>
          </cell>
          <cell r="P11">
            <v>27</v>
          </cell>
          <cell r="Q11">
            <v>47</v>
          </cell>
          <cell r="R11">
            <v>44</v>
          </cell>
          <cell r="S11">
            <v>90</v>
          </cell>
          <cell r="T11">
            <v>44</v>
          </cell>
          <cell r="U11">
            <v>121</v>
          </cell>
          <cell r="V11">
            <v>73</v>
          </cell>
          <cell r="W11">
            <v>161</v>
          </cell>
          <cell r="X11">
            <v>141</v>
          </cell>
          <cell r="Y11">
            <v>238</v>
          </cell>
          <cell r="Z11">
            <v>168</v>
          </cell>
          <cell r="AA11">
            <v>301</v>
          </cell>
        </row>
        <row r="20">
          <cell r="E20">
            <v>2825</v>
          </cell>
        </row>
        <row r="28">
          <cell r="E28">
            <v>1337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881</v>
          </cell>
        </row>
      </sheetData>
      <sheetData sheetId="16"/>
      <sheetData sheetId="17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32</v>
          </cell>
          <cell r="X10">
            <v>37</v>
          </cell>
          <cell r="Y10">
            <v>39</v>
          </cell>
          <cell r="Z10">
            <v>39</v>
          </cell>
        </row>
        <row r="34">
          <cell r="D34">
            <v>444</v>
          </cell>
        </row>
        <row r="69">
          <cell r="G69">
            <v>56</v>
          </cell>
          <cell r="H69">
            <v>47</v>
          </cell>
        </row>
      </sheetData>
      <sheetData sheetId="16"/>
      <sheetData sheetId="17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249</v>
          </cell>
        </row>
        <row r="64">
          <cell r="G64">
            <v>18</v>
          </cell>
          <cell r="H64">
            <v>22</v>
          </cell>
          <cell r="I64">
            <v>31</v>
          </cell>
          <cell r="J64">
            <v>9</v>
          </cell>
          <cell r="K64">
            <v>2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6</v>
          </cell>
          <cell r="K11">
            <v>9</v>
          </cell>
          <cell r="L11">
            <v>10</v>
          </cell>
          <cell r="M11">
            <v>24</v>
          </cell>
          <cell r="N11">
            <v>9</v>
          </cell>
          <cell r="O11">
            <v>38</v>
          </cell>
          <cell r="P11">
            <v>24</v>
          </cell>
          <cell r="Q11">
            <v>52</v>
          </cell>
          <cell r="R11">
            <v>39</v>
          </cell>
          <cell r="S11">
            <v>87</v>
          </cell>
          <cell r="T11">
            <v>43</v>
          </cell>
          <cell r="U11">
            <v>122</v>
          </cell>
          <cell r="V11">
            <v>78</v>
          </cell>
          <cell r="W11">
            <v>157</v>
          </cell>
          <cell r="X11">
            <v>133</v>
          </cell>
          <cell r="Y11">
            <v>216</v>
          </cell>
          <cell r="Z11">
            <v>171</v>
          </cell>
          <cell r="AA11">
            <v>328</v>
          </cell>
        </row>
        <row r="20">
          <cell r="E20">
            <v>2836</v>
          </cell>
        </row>
        <row r="28">
          <cell r="E28">
            <v>1360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1003</v>
          </cell>
        </row>
      </sheetData>
      <sheetData sheetId="17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44</v>
          </cell>
          <cell r="X10">
            <v>37</v>
          </cell>
          <cell r="Y10">
            <v>43</v>
          </cell>
          <cell r="Z10">
            <v>39</v>
          </cell>
        </row>
        <row r="34">
          <cell r="D34">
            <v>450</v>
          </cell>
        </row>
        <row r="69">
          <cell r="G69">
            <v>43</v>
          </cell>
          <cell r="H69">
            <v>43</v>
          </cell>
        </row>
      </sheetData>
      <sheetData sheetId="17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248</v>
          </cell>
        </row>
        <row r="64">
          <cell r="G64">
            <v>9</v>
          </cell>
          <cell r="H64">
            <v>17</v>
          </cell>
          <cell r="I64">
            <v>22</v>
          </cell>
          <cell r="J64">
            <v>8</v>
          </cell>
          <cell r="K64">
            <v>2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7</v>
          </cell>
          <cell r="L11">
            <v>9</v>
          </cell>
          <cell r="M11">
            <v>13</v>
          </cell>
          <cell r="N11">
            <v>18</v>
          </cell>
          <cell r="O11">
            <v>32</v>
          </cell>
          <cell r="P11">
            <v>24</v>
          </cell>
          <cell r="Q11">
            <v>50</v>
          </cell>
          <cell r="R11">
            <v>32</v>
          </cell>
          <cell r="S11">
            <v>91</v>
          </cell>
          <cell r="T11">
            <v>55</v>
          </cell>
          <cell r="U11">
            <v>135</v>
          </cell>
          <cell r="V11">
            <v>90</v>
          </cell>
          <cell r="W11">
            <v>201</v>
          </cell>
        </row>
        <row r="20">
          <cell r="E20">
            <v>2779</v>
          </cell>
        </row>
        <row r="28">
          <cell r="E28">
            <v>1182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1732</v>
          </cell>
        </row>
      </sheetData>
      <sheetData sheetId="15"/>
      <sheetData sheetId="16"/>
      <sheetData sheetId="17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47</v>
          </cell>
          <cell r="X10">
            <v>47</v>
          </cell>
          <cell r="Y10">
            <v>34</v>
          </cell>
          <cell r="Z10">
            <v>44</v>
          </cell>
        </row>
        <row r="34">
          <cell r="D34">
            <v>508</v>
          </cell>
        </row>
      </sheetData>
      <sheetData sheetId="15"/>
      <sheetData sheetId="16"/>
      <sheetData sheetId="17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489</v>
          </cell>
        </row>
        <row r="64">
          <cell r="G64">
            <v>17</v>
          </cell>
          <cell r="H64">
            <v>27</v>
          </cell>
          <cell r="I64">
            <v>22</v>
          </cell>
          <cell r="J64">
            <v>11</v>
          </cell>
          <cell r="K64">
            <v>3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4</v>
          </cell>
          <cell r="K11">
            <v>9</v>
          </cell>
          <cell r="L11">
            <v>10</v>
          </cell>
          <cell r="M11">
            <v>12</v>
          </cell>
          <cell r="N11">
            <v>17</v>
          </cell>
          <cell r="O11">
            <v>29</v>
          </cell>
          <cell r="P11">
            <v>24</v>
          </cell>
          <cell r="Q11">
            <v>50</v>
          </cell>
          <cell r="R11">
            <v>37</v>
          </cell>
          <cell r="S11">
            <v>88</v>
          </cell>
          <cell r="T11">
            <v>49</v>
          </cell>
          <cell r="U11">
            <v>136</v>
          </cell>
          <cell r="V11">
            <v>90</v>
          </cell>
          <cell r="W11">
            <v>200</v>
          </cell>
          <cell r="X11">
            <v>135</v>
          </cell>
          <cell r="Y11">
            <v>243</v>
          </cell>
          <cell r="Z11">
            <v>168</v>
          </cell>
          <cell r="AA11">
            <v>326</v>
          </cell>
        </row>
        <row r="20">
          <cell r="E20">
            <v>2846</v>
          </cell>
        </row>
        <row r="28">
          <cell r="E28">
            <v>1211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1875</v>
          </cell>
        </row>
      </sheetData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75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7</v>
          </cell>
          <cell r="H21">
            <v>9</v>
          </cell>
          <cell r="I21">
            <v>3</v>
          </cell>
          <cell r="J21">
            <v>7</v>
          </cell>
          <cell r="K21">
            <v>2</v>
          </cell>
          <cell r="L21">
            <v>8</v>
          </cell>
          <cell r="M21">
            <v>2</v>
          </cell>
          <cell r="N21">
            <v>5</v>
          </cell>
          <cell r="O21">
            <v>2</v>
          </cell>
          <cell r="P21">
            <v>5</v>
          </cell>
          <cell r="Q21">
            <v>2</v>
          </cell>
          <cell r="R21">
            <v>4</v>
          </cell>
          <cell r="S21">
            <v>2</v>
          </cell>
          <cell r="T21">
            <v>8</v>
          </cell>
          <cell r="U21">
            <v>4</v>
          </cell>
          <cell r="V21">
            <v>3</v>
          </cell>
          <cell r="W21">
            <v>2</v>
          </cell>
          <cell r="X21">
            <v>3</v>
          </cell>
          <cell r="Y21">
            <v>7</v>
          </cell>
          <cell r="Z21">
            <v>27</v>
          </cell>
          <cell r="AA21">
            <v>8</v>
          </cell>
          <cell r="AB21">
            <v>14</v>
          </cell>
          <cell r="AC21">
            <v>9</v>
          </cell>
          <cell r="AD21">
            <v>12</v>
          </cell>
          <cell r="AE21">
            <v>7</v>
          </cell>
          <cell r="AF21">
            <v>18</v>
          </cell>
        </row>
      </sheetData>
      <sheetData sheetId="3">
        <row r="21">
          <cell r="J21"/>
          <cell r="K21"/>
          <cell r="L21">
            <v>7</v>
          </cell>
          <cell r="M21">
            <v>3</v>
          </cell>
        </row>
        <row r="22">
          <cell r="J22"/>
          <cell r="K22"/>
          <cell r="L22">
            <v>0</v>
          </cell>
          <cell r="M22">
            <v>0</v>
          </cell>
        </row>
        <row r="23">
          <cell r="J23"/>
          <cell r="K23"/>
          <cell r="L23">
            <v>1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956</v>
          </cell>
        </row>
        <row r="24">
          <cell r="B24">
            <v>95</v>
          </cell>
        </row>
      </sheetData>
      <sheetData sheetId="5">
        <row r="11">
          <cell r="C11">
            <v>21</v>
          </cell>
        </row>
        <row r="13">
          <cell r="C13">
            <v>21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R114">
            <v>0</v>
          </cell>
          <cell r="S114">
            <v>3</v>
          </cell>
          <cell r="T114">
            <v>2</v>
          </cell>
          <cell r="U114">
            <v>1</v>
          </cell>
          <cell r="V114">
            <v>0</v>
          </cell>
          <cell r="W114">
            <v>6</v>
          </cell>
          <cell r="X114">
            <v>4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2</v>
          </cell>
        </row>
        <row r="186">
          <cell r="C186">
            <v>66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517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4</v>
          </cell>
          <cell r="N12">
            <v>4</v>
          </cell>
          <cell r="O12">
            <v>3</v>
          </cell>
          <cell r="P12">
            <v>3</v>
          </cell>
          <cell r="Q12">
            <v>4</v>
          </cell>
          <cell r="R12">
            <v>10</v>
          </cell>
          <cell r="S12">
            <v>7</v>
          </cell>
          <cell r="T12">
            <v>5</v>
          </cell>
          <cell r="U12">
            <v>8</v>
          </cell>
          <cell r="V12">
            <v>8</v>
          </cell>
          <cell r="W12">
            <v>15</v>
          </cell>
          <cell r="X12">
            <v>10</v>
          </cell>
          <cell r="Y12">
            <v>9</v>
          </cell>
          <cell r="Z12">
            <v>15</v>
          </cell>
          <cell r="AA12">
            <v>6</v>
          </cell>
          <cell r="AB12">
            <v>18</v>
          </cell>
        </row>
        <row r="48">
          <cell r="G48">
            <v>7</v>
          </cell>
          <cell r="H48">
            <v>4</v>
          </cell>
          <cell r="I48">
            <v>5</v>
          </cell>
          <cell r="J48">
            <v>1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6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5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8</v>
          </cell>
          <cell r="D41">
            <v>0</v>
          </cell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38</v>
          </cell>
          <cell r="X10">
            <v>42</v>
          </cell>
          <cell r="Y10">
            <v>26</v>
          </cell>
          <cell r="Z10">
            <v>36</v>
          </cell>
        </row>
        <row r="34">
          <cell r="D34">
            <v>458</v>
          </cell>
        </row>
        <row r="69">
          <cell r="G69">
            <v>56</v>
          </cell>
          <cell r="H69">
            <v>45</v>
          </cell>
        </row>
      </sheetData>
      <sheetData sheetId="16"/>
      <sheetData sheetId="17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502</v>
          </cell>
        </row>
        <row r="64">
          <cell r="G64">
            <v>17</v>
          </cell>
          <cell r="H64">
            <v>23</v>
          </cell>
          <cell r="I64">
            <v>15</v>
          </cell>
          <cell r="J64">
            <v>9</v>
          </cell>
          <cell r="K64">
            <v>4</v>
          </cell>
          <cell r="L64">
            <v>1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5</v>
          </cell>
          <cell r="K11">
            <v>10</v>
          </cell>
          <cell r="L11">
            <v>11</v>
          </cell>
          <cell r="M11">
            <v>14</v>
          </cell>
          <cell r="N11">
            <v>19</v>
          </cell>
          <cell r="O11">
            <v>29</v>
          </cell>
          <cell r="P11">
            <v>25</v>
          </cell>
          <cell r="Q11">
            <v>51</v>
          </cell>
          <cell r="R11">
            <v>39</v>
          </cell>
          <cell r="S11">
            <v>91</v>
          </cell>
          <cell r="T11">
            <v>49</v>
          </cell>
          <cell r="U11">
            <v>138</v>
          </cell>
          <cell r="V11">
            <v>92</v>
          </cell>
          <cell r="W11">
            <v>199</v>
          </cell>
          <cell r="X11">
            <v>137</v>
          </cell>
          <cell r="Y11">
            <v>251</v>
          </cell>
          <cell r="Z11">
            <v>168</v>
          </cell>
          <cell r="AA11">
            <v>330</v>
          </cell>
        </row>
        <row r="20">
          <cell r="E20">
            <v>2894</v>
          </cell>
        </row>
        <row r="28">
          <cell r="E28">
            <v>1271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2025</v>
          </cell>
        </row>
      </sheetData>
      <sheetData sheetId="17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33</v>
          </cell>
          <cell r="X10">
            <v>38</v>
          </cell>
          <cell r="Y10">
            <v>36</v>
          </cell>
          <cell r="Z10">
            <v>44</v>
          </cell>
        </row>
        <row r="34">
          <cell r="D34">
            <v>459</v>
          </cell>
        </row>
        <row r="69">
          <cell r="G69">
            <v>39</v>
          </cell>
          <cell r="H69">
            <v>35</v>
          </cell>
        </row>
      </sheetData>
      <sheetData sheetId="17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520</v>
          </cell>
        </row>
        <row r="64">
          <cell r="G64">
            <v>16</v>
          </cell>
          <cell r="H64">
            <v>21</v>
          </cell>
          <cell r="I64">
            <v>24</v>
          </cell>
          <cell r="J64">
            <v>10</v>
          </cell>
          <cell r="K64">
            <v>6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2</v>
          </cell>
          <cell r="W11">
            <v>5</v>
          </cell>
        </row>
        <row r="20">
          <cell r="E20">
            <v>136</v>
          </cell>
        </row>
        <row r="28">
          <cell r="E28">
            <v>47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</v>
          </cell>
        </row>
      </sheetData>
      <sheetData sheetId="15"/>
      <sheetData sheetId="16"/>
      <sheetData sheetId="17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</v>
          </cell>
          <cell r="X10"/>
          <cell r="Y10">
            <v>1</v>
          </cell>
          <cell r="Z10"/>
        </row>
        <row r="34">
          <cell r="D34">
            <v>9</v>
          </cell>
        </row>
      </sheetData>
      <sheetData sheetId="15"/>
      <sheetData sheetId="16"/>
      <sheetData sheetId="17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41</v>
          </cell>
        </row>
        <row r="44">
          <cell r="C44">
            <v>103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25</v>
          </cell>
          <cell r="F74">
            <v>19</v>
          </cell>
        </row>
      </sheetData>
      <sheetData sheetId="2">
        <row r="21">
          <cell r="G21">
            <v>0</v>
          </cell>
          <cell r="H21">
            <v>2</v>
          </cell>
          <cell r="I21">
            <v>0</v>
          </cell>
          <cell r="J21">
            <v>3</v>
          </cell>
          <cell r="K21">
            <v>0</v>
          </cell>
          <cell r="L21">
            <v>7</v>
          </cell>
          <cell r="M21">
            <v>0</v>
          </cell>
          <cell r="N21">
            <v>5</v>
          </cell>
          <cell r="O21">
            <v>0</v>
          </cell>
          <cell r="P21">
            <v>5</v>
          </cell>
          <cell r="Q21">
            <v>0</v>
          </cell>
          <cell r="R21">
            <v>3</v>
          </cell>
          <cell r="S21">
            <v>0</v>
          </cell>
          <cell r="T21">
            <v>2</v>
          </cell>
          <cell r="U21">
            <v>1</v>
          </cell>
          <cell r="V21">
            <v>0</v>
          </cell>
          <cell r="W21">
            <v>1</v>
          </cell>
          <cell r="X21">
            <v>1</v>
          </cell>
          <cell r="Y21">
            <v>5</v>
          </cell>
          <cell r="Z21">
            <v>5</v>
          </cell>
          <cell r="AA21">
            <v>4</v>
          </cell>
          <cell r="AB21">
            <v>9</v>
          </cell>
          <cell r="AC21">
            <v>2</v>
          </cell>
          <cell r="AD21">
            <v>7</v>
          </cell>
          <cell r="AE21">
            <v>3</v>
          </cell>
          <cell r="AF21">
            <v>12</v>
          </cell>
        </row>
      </sheetData>
      <sheetData sheetId="3">
        <row r="21">
          <cell r="J21"/>
          <cell r="K21"/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1126</v>
          </cell>
        </row>
        <row r="24">
          <cell r="B24">
            <v>86</v>
          </cell>
        </row>
      </sheetData>
      <sheetData sheetId="5">
        <row r="11">
          <cell r="C11">
            <v>12</v>
          </cell>
        </row>
        <row r="13">
          <cell r="C13">
            <v>10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2</v>
          </cell>
          <cell r="T114">
            <v>1</v>
          </cell>
          <cell r="U114">
            <v>2</v>
          </cell>
          <cell r="V114">
            <v>0</v>
          </cell>
          <cell r="W114">
            <v>1</v>
          </cell>
          <cell r="X114">
            <v>1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47</v>
          </cell>
        </row>
        <row r="234">
          <cell r="C234">
            <v>2</v>
          </cell>
        </row>
        <row r="241">
          <cell r="AN241">
            <v>28</v>
          </cell>
          <cell r="AO241"/>
          <cell r="AP241"/>
        </row>
      </sheetData>
      <sheetData sheetId="6">
        <row r="12">
          <cell r="C12">
            <v>71</v>
          </cell>
        </row>
        <row r="22">
          <cell r="C22">
            <v>447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39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1</v>
          </cell>
          <cell r="O12">
            <v>0</v>
          </cell>
          <cell r="P12">
            <v>0</v>
          </cell>
          <cell r="Q12">
            <v>0</v>
          </cell>
          <cell r="R12">
            <v>4</v>
          </cell>
          <cell r="S12">
            <v>3</v>
          </cell>
          <cell r="T12">
            <v>4</v>
          </cell>
          <cell r="U12">
            <v>5</v>
          </cell>
          <cell r="V12">
            <v>4</v>
          </cell>
          <cell r="W12">
            <v>12</v>
          </cell>
          <cell r="X12">
            <v>5</v>
          </cell>
          <cell r="Y12">
            <v>9</v>
          </cell>
          <cell r="Z12">
            <v>13</v>
          </cell>
          <cell r="AA12">
            <v>7</v>
          </cell>
          <cell r="AB12">
            <v>10</v>
          </cell>
        </row>
        <row r="48">
          <cell r="G48">
            <v>2</v>
          </cell>
          <cell r="H48">
            <v>3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3</v>
          </cell>
          <cell r="D41">
            <v>0</v>
          </cell>
          <cell r="E41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2</v>
          </cell>
          <cell r="W11">
            <v>5</v>
          </cell>
          <cell r="X11">
            <v>8</v>
          </cell>
          <cell r="Y11">
            <v>13</v>
          </cell>
          <cell r="Z11">
            <v>15</v>
          </cell>
          <cell r="AA11">
            <v>12</v>
          </cell>
        </row>
        <row r="20">
          <cell r="E20">
            <v>135</v>
          </cell>
        </row>
        <row r="28">
          <cell r="E28">
            <v>47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23</v>
          </cell>
        </row>
      </sheetData>
      <sheetData sheetId="16"/>
      <sheetData sheetId="17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/>
          <cell r="X10"/>
          <cell r="Y10">
            <v>1</v>
          </cell>
          <cell r="Z10"/>
        </row>
        <row r="34">
          <cell r="D34">
            <v>8</v>
          </cell>
        </row>
        <row r="69">
          <cell r="G69"/>
          <cell r="H69"/>
        </row>
      </sheetData>
      <sheetData sheetId="16"/>
      <sheetData sheetId="17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4</v>
          </cell>
          <cell r="W11">
            <v>5</v>
          </cell>
          <cell r="X11">
            <v>6</v>
          </cell>
          <cell r="Y11">
            <v>9</v>
          </cell>
          <cell r="Z11">
            <v>17</v>
          </cell>
          <cell r="AA11">
            <v>10</v>
          </cell>
        </row>
        <row r="20">
          <cell r="E20">
            <v>136</v>
          </cell>
        </row>
        <row r="28">
          <cell r="E28">
            <v>46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27</v>
          </cell>
        </row>
      </sheetData>
      <sheetData sheetId="17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/>
          <cell r="X10"/>
          <cell r="Y10">
            <v>1</v>
          </cell>
          <cell r="Z10"/>
        </row>
        <row r="34">
          <cell r="D34">
            <v>7</v>
          </cell>
        </row>
        <row r="69">
          <cell r="G69"/>
          <cell r="H69">
            <v>1</v>
          </cell>
        </row>
      </sheetData>
      <sheetData sheetId="17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1</v>
          </cell>
          <cell r="L11">
            <v>2</v>
          </cell>
          <cell r="M11">
            <v>3</v>
          </cell>
          <cell r="N11">
            <v>3</v>
          </cell>
          <cell r="O11">
            <v>10</v>
          </cell>
          <cell r="P11">
            <v>4</v>
          </cell>
          <cell r="Q11">
            <v>8</v>
          </cell>
          <cell r="R11">
            <v>12</v>
          </cell>
          <cell r="S11">
            <v>19</v>
          </cell>
          <cell r="T11">
            <v>12</v>
          </cell>
          <cell r="U11">
            <v>35</v>
          </cell>
          <cell r="V11">
            <v>25</v>
          </cell>
          <cell r="W11">
            <v>34</v>
          </cell>
        </row>
        <row r="20">
          <cell r="E20">
            <v>830</v>
          </cell>
        </row>
        <row r="28">
          <cell r="E28">
            <v>414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427</v>
          </cell>
        </row>
      </sheetData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63</v>
          </cell>
        </row>
        <row r="44">
          <cell r="C44">
            <v>203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71</v>
          </cell>
        </row>
        <row r="63">
          <cell r="C63">
            <v>0</v>
          </cell>
        </row>
        <row r="74">
          <cell r="C74">
            <v>13</v>
          </cell>
          <cell r="F74">
            <v>12</v>
          </cell>
        </row>
      </sheetData>
      <sheetData sheetId="2">
        <row r="21">
          <cell r="G21">
            <v>1</v>
          </cell>
          <cell r="H21">
            <v>3</v>
          </cell>
          <cell r="I21">
            <v>0</v>
          </cell>
          <cell r="J21">
            <v>6</v>
          </cell>
          <cell r="K21">
            <v>2</v>
          </cell>
          <cell r="L21">
            <v>3</v>
          </cell>
          <cell r="M21">
            <v>1</v>
          </cell>
          <cell r="N21">
            <v>3</v>
          </cell>
          <cell r="O21">
            <v>1</v>
          </cell>
          <cell r="P21">
            <v>2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2</v>
          </cell>
          <cell r="V21">
            <v>2</v>
          </cell>
          <cell r="W21">
            <v>1</v>
          </cell>
          <cell r="X21">
            <v>0</v>
          </cell>
          <cell r="Y21">
            <v>8</v>
          </cell>
          <cell r="Z21">
            <v>13</v>
          </cell>
          <cell r="AA21">
            <v>4</v>
          </cell>
          <cell r="AB21">
            <v>5</v>
          </cell>
          <cell r="AC21">
            <v>4</v>
          </cell>
          <cell r="AD21">
            <v>6</v>
          </cell>
          <cell r="AE21">
            <v>7</v>
          </cell>
          <cell r="AF21">
            <v>6</v>
          </cell>
        </row>
      </sheetData>
      <sheetData sheetId="3">
        <row r="21">
          <cell r="J21">
            <v>1</v>
          </cell>
          <cell r="K21">
            <v>1</v>
          </cell>
          <cell r="L21">
            <v>7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926</v>
          </cell>
        </row>
        <row r="24">
          <cell r="B24">
            <v>101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1</v>
          </cell>
          <cell r="V114">
            <v>1</v>
          </cell>
          <cell r="W114">
            <v>2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83</v>
          </cell>
        </row>
        <row r="234">
          <cell r="C234">
            <v>14</v>
          </cell>
        </row>
        <row r="241">
          <cell r="AN241">
            <v>55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118</v>
          </cell>
        </row>
        <row r="22">
          <cell r="C22">
            <v>694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4</v>
          </cell>
          <cell r="P12">
            <v>11</v>
          </cell>
          <cell r="Q12">
            <v>4</v>
          </cell>
          <cell r="R12">
            <v>5</v>
          </cell>
          <cell r="S12">
            <v>5</v>
          </cell>
          <cell r="T12">
            <v>1</v>
          </cell>
          <cell r="U12">
            <v>8</v>
          </cell>
          <cell r="V12">
            <v>6</v>
          </cell>
          <cell r="W12">
            <v>15</v>
          </cell>
          <cell r="X12">
            <v>11</v>
          </cell>
          <cell r="Y12">
            <v>11</v>
          </cell>
          <cell r="Z12">
            <v>19</v>
          </cell>
          <cell r="AA12">
            <v>9</v>
          </cell>
          <cell r="AB12">
            <v>10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3</v>
          </cell>
          <cell r="K48">
            <v>3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9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2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5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1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10</v>
          </cell>
        </row>
      </sheetData>
      <sheetData sheetId="27"/>
      <sheetData sheetId="28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15</v>
          </cell>
          <cell r="X10">
            <v>10</v>
          </cell>
          <cell r="Y10">
            <v>11</v>
          </cell>
          <cell r="Z10">
            <v>12</v>
          </cell>
        </row>
        <row r="34">
          <cell r="D34">
            <v>131</v>
          </cell>
        </row>
      </sheetData>
      <sheetData sheetId="15"/>
      <sheetData sheetId="16"/>
      <sheetData sheetId="17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115</v>
          </cell>
        </row>
        <row r="64">
          <cell r="G64">
            <v>2</v>
          </cell>
          <cell r="H64">
            <v>10</v>
          </cell>
          <cell r="I64">
            <v>9</v>
          </cell>
          <cell r="J64">
            <v>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1</v>
          </cell>
          <cell r="K11">
            <v>0</v>
          </cell>
          <cell r="L11">
            <v>3</v>
          </cell>
          <cell r="M11">
            <v>3</v>
          </cell>
          <cell r="N11">
            <v>4</v>
          </cell>
          <cell r="O11">
            <v>10</v>
          </cell>
          <cell r="P11">
            <v>4</v>
          </cell>
          <cell r="Q11">
            <v>8</v>
          </cell>
          <cell r="R11">
            <v>12</v>
          </cell>
          <cell r="S11">
            <v>18</v>
          </cell>
          <cell r="T11">
            <v>12</v>
          </cell>
          <cell r="U11">
            <v>38</v>
          </cell>
          <cell r="V11">
            <v>25</v>
          </cell>
          <cell r="W11">
            <v>34</v>
          </cell>
          <cell r="X11">
            <v>36</v>
          </cell>
          <cell r="Y11">
            <v>68</v>
          </cell>
          <cell r="Z11">
            <v>42</v>
          </cell>
          <cell r="AA11">
            <v>75</v>
          </cell>
        </row>
        <row r="20">
          <cell r="E20">
            <v>893</v>
          </cell>
        </row>
        <row r="28">
          <cell r="E28">
            <v>419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414</v>
          </cell>
        </row>
      </sheetData>
      <sheetData sheetId="16"/>
      <sheetData sheetId="17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17</v>
          </cell>
          <cell r="X10">
            <v>18</v>
          </cell>
          <cell r="Y10">
            <v>8</v>
          </cell>
          <cell r="Z10">
            <v>13</v>
          </cell>
        </row>
        <row r="34">
          <cell r="D34">
            <v>138</v>
          </cell>
        </row>
        <row r="69">
          <cell r="G69">
            <v>20</v>
          </cell>
          <cell r="H69">
            <v>13</v>
          </cell>
        </row>
      </sheetData>
      <sheetData sheetId="16"/>
      <sheetData sheetId="17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120</v>
          </cell>
        </row>
        <row r="64">
          <cell r="G64">
            <v>4</v>
          </cell>
          <cell r="H64">
            <v>6</v>
          </cell>
          <cell r="I64">
            <v>7</v>
          </cell>
          <cell r="J64">
            <v>3</v>
          </cell>
          <cell r="K64">
            <v>0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1</v>
          </cell>
          <cell r="K11">
            <v>0</v>
          </cell>
          <cell r="L11">
            <v>2</v>
          </cell>
          <cell r="M11">
            <v>5</v>
          </cell>
          <cell r="N11">
            <v>4</v>
          </cell>
          <cell r="O11">
            <v>8</v>
          </cell>
          <cell r="P11">
            <v>4</v>
          </cell>
          <cell r="Q11">
            <v>12</v>
          </cell>
          <cell r="R11">
            <v>10</v>
          </cell>
          <cell r="S11">
            <v>21</v>
          </cell>
          <cell r="T11">
            <v>16</v>
          </cell>
          <cell r="U11">
            <v>39</v>
          </cell>
          <cell r="V11">
            <v>28</v>
          </cell>
          <cell r="W11">
            <v>35</v>
          </cell>
          <cell r="X11">
            <v>31</v>
          </cell>
          <cell r="Y11">
            <v>62</v>
          </cell>
          <cell r="Z11">
            <v>47</v>
          </cell>
          <cell r="AA11">
            <v>79</v>
          </cell>
        </row>
        <row r="20">
          <cell r="E20">
            <v>911</v>
          </cell>
        </row>
        <row r="28">
          <cell r="E28">
            <v>421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511</v>
          </cell>
        </row>
      </sheetData>
      <sheetData sheetId="17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8</v>
          </cell>
          <cell r="X10">
            <v>20</v>
          </cell>
          <cell r="Y10">
            <v>14</v>
          </cell>
          <cell r="Z10">
            <v>12</v>
          </cell>
        </row>
        <row r="34">
          <cell r="D34">
            <v>141</v>
          </cell>
        </row>
        <row r="69">
          <cell r="G69">
            <v>18</v>
          </cell>
          <cell r="H69">
            <v>13</v>
          </cell>
        </row>
      </sheetData>
      <sheetData sheetId="17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127</v>
          </cell>
        </row>
        <row r="64">
          <cell r="G64">
            <v>6</v>
          </cell>
          <cell r="H64">
            <v>2</v>
          </cell>
          <cell r="I64">
            <v>8</v>
          </cell>
          <cell r="J64">
            <v>2</v>
          </cell>
          <cell r="K64">
            <v>1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267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103</v>
          </cell>
        </row>
        <row r="63">
          <cell r="C63">
            <v>0</v>
          </cell>
        </row>
        <row r="74">
          <cell r="C74">
            <v>45</v>
          </cell>
          <cell r="F74">
            <v>9</v>
          </cell>
        </row>
      </sheetData>
      <sheetData sheetId="2">
        <row r="21">
          <cell r="G21">
            <v>1</v>
          </cell>
          <cell r="H21">
            <v>9</v>
          </cell>
          <cell r="I21">
            <v>5</v>
          </cell>
          <cell r="J21">
            <v>19</v>
          </cell>
          <cell r="K21">
            <v>4</v>
          </cell>
          <cell r="L21">
            <v>16</v>
          </cell>
          <cell r="M21">
            <v>7</v>
          </cell>
          <cell r="N21">
            <v>12</v>
          </cell>
          <cell r="O21">
            <v>6</v>
          </cell>
          <cell r="P21">
            <v>12</v>
          </cell>
          <cell r="Q21">
            <v>4</v>
          </cell>
          <cell r="R21">
            <v>11</v>
          </cell>
          <cell r="S21">
            <v>3</v>
          </cell>
          <cell r="T21">
            <v>10</v>
          </cell>
          <cell r="U21">
            <v>3</v>
          </cell>
          <cell r="V21">
            <v>6</v>
          </cell>
          <cell r="W21">
            <v>0</v>
          </cell>
          <cell r="X21">
            <v>9</v>
          </cell>
          <cell r="Y21">
            <v>9</v>
          </cell>
          <cell r="Z21">
            <v>18</v>
          </cell>
          <cell r="AA21">
            <v>9</v>
          </cell>
          <cell r="AB21">
            <v>14</v>
          </cell>
          <cell r="AC21">
            <v>9</v>
          </cell>
          <cell r="AD21">
            <v>20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9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1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15</v>
          </cell>
        </row>
        <row r="13">
          <cell r="C13">
            <v>13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2</v>
          </cell>
          <cell r="P114">
            <v>0</v>
          </cell>
          <cell r="Q114">
            <v>4</v>
          </cell>
          <cell r="R114">
            <v>3</v>
          </cell>
          <cell r="S114">
            <v>3</v>
          </cell>
          <cell r="T114">
            <v>1</v>
          </cell>
          <cell r="U114">
            <v>8</v>
          </cell>
          <cell r="V114">
            <v>3</v>
          </cell>
          <cell r="W114">
            <v>4</v>
          </cell>
          <cell r="X114">
            <v>3</v>
          </cell>
          <cell r="Y114">
            <v>6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58</v>
          </cell>
        </row>
        <row r="234">
          <cell r="C234">
            <v>12</v>
          </cell>
        </row>
        <row r="241">
          <cell r="AN241">
            <v>64</v>
          </cell>
          <cell r="AO241"/>
          <cell r="AP241"/>
        </row>
      </sheetData>
      <sheetData sheetId="6">
        <row r="12">
          <cell r="C12">
            <v>131</v>
          </cell>
        </row>
        <row r="22">
          <cell r="C22">
            <v>653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1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11</v>
          </cell>
          <cell r="AF136">
            <v>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5</v>
          </cell>
          <cell r="N12">
            <v>2</v>
          </cell>
          <cell r="O12">
            <v>3</v>
          </cell>
          <cell r="P12">
            <v>6</v>
          </cell>
          <cell r="Q12">
            <v>7</v>
          </cell>
          <cell r="R12">
            <v>3</v>
          </cell>
          <cell r="S12">
            <v>10</v>
          </cell>
          <cell r="T12">
            <v>8</v>
          </cell>
          <cell r="U12">
            <v>10</v>
          </cell>
          <cell r="V12">
            <v>6</v>
          </cell>
          <cell r="W12">
            <v>15</v>
          </cell>
          <cell r="X12">
            <v>12</v>
          </cell>
          <cell r="Y12">
            <v>7</v>
          </cell>
          <cell r="Z12">
            <v>9</v>
          </cell>
          <cell r="AA12">
            <v>7</v>
          </cell>
          <cell r="AB12">
            <v>18</v>
          </cell>
        </row>
        <row r="48">
          <cell r="G48">
            <v>5</v>
          </cell>
          <cell r="H48">
            <v>5</v>
          </cell>
          <cell r="I48">
            <v>0</v>
          </cell>
          <cell r="J48">
            <v>3</v>
          </cell>
          <cell r="K48">
            <v>1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37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115</v>
          </cell>
        </row>
        <row r="44">
          <cell r="C44">
            <v>357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138</v>
          </cell>
        </row>
        <row r="63">
          <cell r="C63">
            <v>7</v>
          </cell>
        </row>
        <row r="74">
          <cell r="C74">
            <v>29</v>
          </cell>
          <cell r="F74">
            <v>9</v>
          </cell>
        </row>
      </sheetData>
      <sheetData sheetId="2">
        <row r="21">
          <cell r="G21">
            <v>1</v>
          </cell>
          <cell r="H21">
            <v>9</v>
          </cell>
          <cell r="I21">
            <v>4</v>
          </cell>
          <cell r="J21">
            <v>13</v>
          </cell>
          <cell r="K21">
            <v>2</v>
          </cell>
          <cell r="L21">
            <v>4</v>
          </cell>
          <cell r="M21">
            <v>1</v>
          </cell>
          <cell r="N21">
            <v>10</v>
          </cell>
          <cell r="O21">
            <v>4</v>
          </cell>
          <cell r="P21">
            <v>11</v>
          </cell>
          <cell r="Q21">
            <v>0</v>
          </cell>
          <cell r="R21">
            <v>7</v>
          </cell>
          <cell r="S21">
            <v>4</v>
          </cell>
          <cell r="T21">
            <v>4</v>
          </cell>
          <cell r="U21">
            <v>2</v>
          </cell>
          <cell r="V21">
            <v>10</v>
          </cell>
          <cell r="W21">
            <v>1</v>
          </cell>
          <cell r="X21">
            <v>4</v>
          </cell>
          <cell r="Y21">
            <v>13</v>
          </cell>
          <cell r="Z21">
            <v>22</v>
          </cell>
          <cell r="AA21">
            <v>15</v>
          </cell>
          <cell r="AB21">
            <v>16</v>
          </cell>
          <cell r="AC21">
            <v>12</v>
          </cell>
          <cell r="AD21">
            <v>22</v>
          </cell>
          <cell r="AE21">
            <v>10</v>
          </cell>
          <cell r="AF21">
            <v>20</v>
          </cell>
        </row>
      </sheetData>
      <sheetData sheetId="3">
        <row r="21">
          <cell r="J21">
            <v>1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2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1047</v>
          </cell>
        </row>
        <row r="24">
          <cell r="B24">
            <v>78</v>
          </cell>
        </row>
      </sheetData>
      <sheetData sheetId="5">
        <row r="11">
          <cell r="C11">
            <v>13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  <cell r="O114">
            <v>0</v>
          </cell>
          <cell r="P114">
            <v>0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3</v>
          </cell>
          <cell r="V114">
            <v>4</v>
          </cell>
          <cell r="W114">
            <v>4</v>
          </cell>
          <cell r="X114">
            <v>1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2</v>
          </cell>
          <cell r="X127">
            <v>0</v>
          </cell>
          <cell r="Y127">
            <v>0</v>
          </cell>
        </row>
        <row r="186">
          <cell r="C186">
            <v>93</v>
          </cell>
        </row>
        <row r="234">
          <cell r="C234">
            <v>12</v>
          </cell>
        </row>
        <row r="241">
          <cell r="AN241">
            <v>109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190</v>
          </cell>
        </row>
        <row r="22">
          <cell r="C22">
            <v>772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124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1</v>
          </cell>
          <cell r="M12">
            <v>4</v>
          </cell>
          <cell r="N12">
            <v>2</v>
          </cell>
          <cell r="O12">
            <v>1</v>
          </cell>
          <cell r="P12">
            <v>2</v>
          </cell>
          <cell r="Q12">
            <v>0</v>
          </cell>
          <cell r="R12">
            <v>1</v>
          </cell>
          <cell r="S12">
            <v>11</v>
          </cell>
          <cell r="T12">
            <v>6</v>
          </cell>
          <cell r="U12">
            <v>7</v>
          </cell>
          <cell r="V12">
            <v>6</v>
          </cell>
          <cell r="W12">
            <v>17</v>
          </cell>
          <cell r="X12">
            <v>10</v>
          </cell>
          <cell r="Y12">
            <v>14</v>
          </cell>
          <cell r="Z12">
            <v>15</v>
          </cell>
          <cell r="AA12">
            <v>14</v>
          </cell>
          <cell r="AB12">
            <v>19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35</v>
          </cell>
        </row>
        <row r="128">
          <cell r="B128">
            <v>0</v>
          </cell>
        </row>
        <row r="129">
          <cell r="B129">
            <v>6</v>
          </cell>
        </row>
        <row r="134">
          <cell r="C134">
            <v>0</v>
          </cell>
        </row>
        <row r="144">
          <cell r="C144">
            <v>4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84</v>
          </cell>
        </row>
        <row r="44">
          <cell r="C44">
            <v>313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115</v>
          </cell>
        </row>
        <row r="63">
          <cell r="C63">
            <v>0</v>
          </cell>
        </row>
        <row r="74">
          <cell r="C74">
            <v>36</v>
          </cell>
          <cell r="F74">
            <v>9</v>
          </cell>
        </row>
      </sheetData>
      <sheetData sheetId="2">
        <row r="21">
          <cell r="G21">
            <v>3</v>
          </cell>
          <cell r="H21">
            <v>10</v>
          </cell>
          <cell r="I21">
            <v>3</v>
          </cell>
          <cell r="J21">
            <v>6</v>
          </cell>
          <cell r="K21">
            <v>2</v>
          </cell>
          <cell r="L21">
            <v>7</v>
          </cell>
          <cell r="M21">
            <v>4</v>
          </cell>
          <cell r="N21">
            <v>14</v>
          </cell>
          <cell r="O21">
            <v>2</v>
          </cell>
          <cell r="P21">
            <v>5</v>
          </cell>
          <cell r="Q21">
            <v>1</v>
          </cell>
          <cell r="R21">
            <v>3</v>
          </cell>
          <cell r="S21">
            <v>1</v>
          </cell>
          <cell r="T21">
            <v>4</v>
          </cell>
          <cell r="U21">
            <v>1</v>
          </cell>
          <cell r="V21">
            <v>1</v>
          </cell>
          <cell r="W21">
            <v>0</v>
          </cell>
          <cell r="X21">
            <v>1</v>
          </cell>
          <cell r="Y21">
            <v>11</v>
          </cell>
          <cell r="Z21">
            <v>17</v>
          </cell>
          <cell r="AA21">
            <v>8</v>
          </cell>
          <cell r="AB21">
            <v>17</v>
          </cell>
          <cell r="AC21">
            <v>10</v>
          </cell>
          <cell r="AD21">
            <v>14</v>
          </cell>
          <cell r="AE21">
            <v>14</v>
          </cell>
          <cell r="AF21">
            <v>15</v>
          </cell>
        </row>
      </sheetData>
      <sheetData sheetId="3">
        <row r="21">
          <cell r="J21">
            <v>0</v>
          </cell>
          <cell r="K21">
            <v>1</v>
          </cell>
          <cell r="L21">
            <v>5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2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2</v>
          </cell>
        </row>
      </sheetData>
      <sheetData sheetId="4">
        <row r="12">
          <cell r="B12">
            <v>914</v>
          </cell>
        </row>
        <row r="24">
          <cell r="B24">
            <v>68</v>
          </cell>
        </row>
      </sheetData>
      <sheetData sheetId="5">
        <row r="11">
          <cell r="C11">
            <v>19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6</v>
          </cell>
          <cell r="N114">
            <v>1</v>
          </cell>
          <cell r="O114">
            <v>2</v>
          </cell>
          <cell r="P114">
            <v>1</v>
          </cell>
          <cell r="Q114">
            <v>4</v>
          </cell>
          <cell r="R114">
            <v>1</v>
          </cell>
          <cell r="S114">
            <v>4</v>
          </cell>
          <cell r="T114">
            <v>3</v>
          </cell>
          <cell r="U114">
            <v>2</v>
          </cell>
          <cell r="V114">
            <v>3</v>
          </cell>
          <cell r="W114">
            <v>2</v>
          </cell>
          <cell r="X114">
            <v>3</v>
          </cell>
          <cell r="Y114">
            <v>5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2</v>
          </cell>
          <cell r="T127">
            <v>0</v>
          </cell>
          <cell r="U127">
            <v>2</v>
          </cell>
          <cell r="V127">
            <v>0</v>
          </cell>
          <cell r="W127">
            <v>3</v>
          </cell>
          <cell r="X127">
            <v>5</v>
          </cell>
          <cell r="Y127">
            <v>0</v>
          </cell>
        </row>
        <row r="186">
          <cell r="C186">
            <v>75</v>
          </cell>
        </row>
        <row r="234">
          <cell r="C234">
            <v>19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186</v>
          </cell>
        </row>
        <row r="22">
          <cell r="C22">
            <v>635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2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77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1</v>
          </cell>
          <cell r="P12">
            <v>1</v>
          </cell>
          <cell r="Q12">
            <v>2</v>
          </cell>
          <cell r="R12">
            <v>1</v>
          </cell>
          <cell r="S12">
            <v>2</v>
          </cell>
          <cell r="T12">
            <v>6</v>
          </cell>
          <cell r="U12">
            <v>3</v>
          </cell>
          <cell r="V12">
            <v>2</v>
          </cell>
          <cell r="W12">
            <v>6</v>
          </cell>
          <cell r="X12">
            <v>6</v>
          </cell>
          <cell r="Y12">
            <v>6</v>
          </cell>
          <cell r="Z12">
            <v>10</v>
          </cell>
          <cell r="AA12">
            <v>8</v>
          </cell>
          <cell r="AB12">
            <v>13</v>
          </cell>
        </row>
        <row r="48">
          <cell r="G48">
            <v>7</v>
          </cell>
          <cell r="H48">
            <v>3</v>
          </cell>
          <cell r="I48">
            <v>2</v>
          </cell>
          <cell r="J48">
            <v>4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71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1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5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2</v>
          </cell>
          <cell r="D41"/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469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15</v>
          </cell>
        </row>
        <row r="57">
          <cell r="C57">
            <v>177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1</v>
          </cell>
          <cell r="H21">
            <v>4</v>
          </cell>
          <cell r="I21">
            <v>6</v>
          </cell>
          <cell r="J21">
            <v>9</v>
          </cell>
          <cell r="K21">
            <v>1</v>
          </cell>
          <cell r="L21">
            <v>6</v>
          </cell>
          <cell r="M21">
            <v>4</v>
          </cell>
          <cell r="N21">
            <v>4</v>
          </cell>
          <cell r="O21">
            <v>1</v>
          </cell>
          <cell r="P21">
            <v>8</v>
          </cell>
          <cell r="Q21">
            <v>1</v>
          </cell>
          <cell r="R21">
            <v>9</v>
          </cell>
          <cell r="S21">
            <v>2</v>
          </cell>
          <cell r="T21">
            <v>3</v>
          </cell>
          <cell r="U21">
            <v>2</v>
          </cell>
          <cell r="V21">
            <v>6</v>
          </cell>
          <cell r="W21">
            <v>3</v>
          </cell>
          <cell r="X21">
            <v>6</v>
          </cell>
          <cell r="Y21">
            <v>22</v>
          </cell>
          <cell r="Z21">
            <v>41</v>
          </cell>
          <cell r="AA21">
            <v>24</v>
          </cell>
          <cell r="AB21">
            <v>32</v>
          </cell>
          <cell r="AC21">
            <v>24</v>
          </cell>
          <cell r="AD21">
            <v>37</v>
          </cell>
          <cell r="AE21">
            <v>26</v>
          </cell>
          <cell r="AF21">
            <v>58</v>
          </cell>
        </row>
      </sheetData>
      <sheetData sheetId="3">
        <row r="21">
          <cell r="J21">
            <v>1</v>
          </cell>
          <cell r="K21">
            <v>1</v>
          </cell>
          <cell r="L21">
            <v>8</v>
          </cell>
          <cell r="M21">
            <v>5</v>
          </cell>
        </row>
        <row r="22">
          <cell r="J22"/>
          <cell r="K22"/>
          <cell r="L22">
            <v>1</v>
          </cell>
          <cell r="M22">
            <v>1</v>
          </cell>
        </row>
        <row r="23">
          <cell r="J23"/>
          <cell r="K23"/>
          <cell r="L23"/>
          <cell r="M23">
            <v>1</v>
          </cell>
        </row>
        <row r="24">
          <cell r="J24"/>
          <cell r="K24"/>
          <cell r="L24">
            <v>1</v>
          </cell>
          <cell r="M24">
            <v>3</v>
          </cell>
        </row>
      </sheetData>
      <sheetData sheetId="4">
        <row r="12">
          <cell r="B12">
            <v>1444</v>
          </cell>
        </row>
        <row r="24">
          <cell r="B24">
            <v>28</v>
          </cell>
        </row>
      </sheetData>
      <sheetData sheetId="5">
        <row r="11">
          <cell r="C11">
            <v>17</v>
          </cell>
        </row>
        <row r="13">
          <cell r="C13">
            <v>15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3</v>
          </cell>
          <cell r="L114">
            <v>2</v>
          </cell>
          <cell r="M114">
            <v>1</v>
          </cell>
          <cell r="N114">
            <v>1</v>
          </cell>
          <cell r="O114">
            <v>3</v>
          </cell>
          <cell r="P114">
            <v>1</v>
          </cell>
          <cell r="Q114">
            <v>4</v>
          </cell>
          <cell r="R114">
            <v>1</v>
          </cell>
          <cell r="S114">
            <v>5</v>
          </cell>
          <cell r="T114">
            <v>5</v>
          </cell>
          <cell r="U114">
            <v>7</v>
          </cell>
          <cell r="V114">
            <v>6</v>
          </cell>
          <cell r="W114">
            <v>4</v>
          </cell>
          <cell r="X114">
            <v>12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>
            <v>1</v>
          </cell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>
            <v>1</v>
          </cell>
          <cell r="W127"/>
          <cell r="X127">
            <v>2</v>
          </cell>
          <cell r="Y127">
            <v>1</v>
          </cell>
        </row>
        <row r="186">
          <cell r="C186">
            <v>53</v>
          </cell>
        </row>
        <row r="234">
          <cell r="C234">
            <v>34</v>
          </cell>
        </row>
        <row r="241">
          <cell r="AN241">
            <v>12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305</v>
          </cell>
        </row>
        <row r="22">
          <cell r="C22">
            <v>941</v>
          </cell>
        </row>
        <row r="23">
          <cell r="C23">
            <v>0</v>
          </cell>
        </row>
        <row r="32">
          <cell r="E32">
            <v>6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10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19</v>
          </cell>
        </row>
      </sheetData>
      <sheetData sheetId="13"/>
      <sheetData sheetId="14"/>
      <sheetData sheetId="15">
        <row r="58">
          <cell r="B58">
            <v>4</v>
          </cell>
        </row>
        <row r="63">
          <cell r="B63">
            <v>64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18</v>
          </cell>
        </row>
        <row r="31">
          <cell r="C31">
            <v>10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5</v>
          </cell>
          <cell r="D38">
            <v>2</v>
          </cell>
          <cell r="E38">
            <v>3</v>
          </cell>
        </row>
        <row r="40">
          <cell r="C40">
            <v>6</v>
          </cell>
          <cell r="D40">
            <v>9</v>
          </cell>
          <cell r="E40">
            <v>11</v>
          </cell>
        </row>
        <row r="41">
          <cell r="C41">
            <v>8</v>
          </cell>
          <cell r="D41">
            <v>18</v>
          </cell>
          <cell r="E41">
            <v>13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32</v>
          </cell>
        </row>
      </sheetData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16</v>
          </cell>
        </row>
        <row r="44">
          <cell r="C44">
            <v>342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133</v>
          </cell>
        </row>
        <row r="63">
          <cell r="C63">
            <v>0</v>
          </cell>
        </row>
        <row r="74">
          <cell r="C74">
            <v>64</v>
          </cell>
          <cell r="F74">
            <v>18</v>
          </cell>
        </row>
      </sheetData>
      <sheetData sheetId="2">
        <row r="21">
          <cell r="G21">
            <v>8</v>
          </cell>
          <cell r="H21">
            <v>19</v>
          </cell>
          <cell r="I21">
            <v>8</v>
          </cell>
          <cell r="J21">
            <v>18</v>
          </cell>
          <cell r="K21">
            <v>15</v>
          </cell>
          <cell r="L21">
            <v>14</v>
          </cell>
          <cell r="M21">
            <v>13</v>
          </cell>
          <cell r="N21">
            <v>14</v>
          </cell>
          <cell r="O21">
            <v>13</v>
          </cell>
          <cell r="P21">
            <v>15</v>
          </cell>
          <cell r="Q21">
            <v>9</v>
          </cell>
          <cell r="R21">
            <v>16</v>
          </cell>
          <cell r="S21">
            <v>10</v>
          </cell>
          <cell r="T21">
            <v>21</v>
          </cell>
          <cell r="U21">
            <v>10</v>
          </cell>
          <cell r="V21">
            <v>16</v>
          </cell>
          <cell r="W21">
            <v>13</v>
          </cell>
          <cell r="X21">
            <v>6</v>
          </cell>
          <cell r="Y21">
            <v>15</v>
          </cell>
          <cell r="Z21">
            <v>30</v>
          </cell>
          <cell r="AA21">
            <v>10</v>
          </cell>
          <cell r="AB21">
            <v>25</v>
          </cell>
          <cell r="AC21">
            <v>14</v>
          </cell>
          <cell r="AD21">
            <v>22</v>
          </cell>
          <cell r="AE21">
            <v>14</v>
          </cell>
          <cell r="AF21">
            <v>28</v>
          </cell>
        </row>
      </sheetData>
      <sheetData sheetId="3">
        <row r="21">
          <cell r="J21">
            <v>1</v>
          </cell>
          <cell r="K21">
            <v>0</v>
          </cell>
          <cell r="L21">
            <v>7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3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1712</v>
          </cell>
        </row>
        <row r="24">
          <cell r="B24">
            <v>76</v>
          </cell>
        </row>
      </sheetData>
      <sheetData sheetId="5">
        <row r="11">
          <cell r="C11">
            <v>22</v>
          </cell>
        </row>
        <row r="13">
          <cell r="C13">
            <v>21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3</v>
          </cell>
          <cell r="O114">
            <v>2</v>
          </cell>
          <cell r="P114">
            <v>3</v>
          </cell>
          <cell r="Q114">
            <v>1</v>
          </cell>
          <cell r="R114">
            <v>2</v>
          </cell>
          <cell r="S114">
            <v>6</v>
          </cell>
          <cell r="T114">
            <v>2</v>
          </cell>
          <cell r="U114">
            <v>2</v>
          </cell>
          <cell r="V114">
            <v>0</v>
          </cell>
          <cell r="W114">
            <v>7</v>
          </cell>
          <cell r="X114">
            <v>4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1</v>
          </cell>
          <cell r="T127">
            <v>0</v>
          </cell>
          <cell r="U127">
            <v>0</v>
          </cell>
          <cell r="V127">
            <v>0</v>
          </cell>
          <cell r="W127">
            <v>1</v>
          </cell>
          <cell r="X127">
            <v>0</v>
          </cell>
          <cell r="Y127">
            <v>0</v>
          </cell>
        </row>
        <row r="186">
          <cell r="C186">
            <v>73</v>
          </cell>
        </row>
        <row r="234">
          <cell r="C234">
            <v>11</v>
          </cell>
        </row>
        <row r="241">
          <cell r="AN241">
            <v>31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271</v>
          </cell>
        </row>
        <row r="22">
          <cell r="C22">
            <v>861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13</v>
          </cell>
          <cell r="AF136">
            <v>106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0</v>
          </cell>
          <cell r="M12">
            <v>2</v>
          </cell>
          <cell r="N12">
            <v>1</v>
          </cell>
          <cell r="O12">
            <v>1</v>
          </cell>
          <cell r="P12">
            <v>3</v>
          </cell>
          <cell r="Q12">
            <v>2</v>
          </cell>
          <cell r="R12">
            <v>7</v>
          </cell>
          <cell r="S12">
            <v>7</v>
          </cell>
          <cell r="T12">
            <v>8</v>
          </cell>
          <cell r="U12">
            <v>8</v>
          </cell>
          <cell r="V12">
            <v>8</v>
          </cell>
          <cell r="W12">
            <v>16</v>
          </cell>
          <cell r="X12">
            <v>14</v>
          </cell>
          <cell r="Y12">
            <v>21</v>
          </cell>
          <cell r="Z12">
            <v>20</v>
          </cell>
          <cell r="AA12">
            <v>12</v>
          </cell>
          <cell r="AB12">
            <v>26</v>
          </cell>
        </row>
        <row r="48">
          <cell r="G48">
            <v>7</v>
          </cell>
          <cell r="H48">
            <v>1</v>
          </cell>
          <cell r="I48">
            <v>4</v>
          </cell>
          <cell r="J48">
            <v>4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2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20</v>
          </cell>
        </row>
        <row r="128">
          <cell r="B128">
            <v>0</v>
          </cell>
        </row>
        <row r="129">
          <cell r="B129">
            <v>5</v>
          </cell>
        </row>
        <row r="144">
          <cell r="C144">
            <v>5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300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131</v>
          </cell>
        </row>
        <row r="63">
          <cell r="C63">
            <v>0</v>
          </cell>
        </row>
        <row r="74">
          <cell r="C74">
            <v>30</v>
          </cell>
          <cell r="F74">
            <v>25</v>
          </cell>
        </row>
      </sheetData>
      <sheetData sheetId="2">
        <row r="21">
          <cell r="G21">
            <v>13</v>
          </cell>
          <cell r="H21">
            <v>28</v>
          </cell>
          <cell r="I21">
            <v>12</v>
          </cell>
          <cell r="J21">
            <v>19</v>
          </cell>
          <cell r="K21">
            <v>7</v>
          </cell>
          <cell r="L21">
            <v>26</v>
          </cell>
          <cell r="M21">
            <v>4</v>
          </cell>
          <cell r="N21">
            <v>22</v>
          </cell>
          <cell r="O21">
            <v>8</v>
          </cell>
          <cell r="P21">
            <v>21</v>
          </cell>
          <cell r="Q21">
            <v>6</v>
          </cell>
          <cell r="R21">
            <v>16</v>
          </cell>
          <cell r="S21">
            <v>4</v>
          </cell>
          <cell r="T21">
            <v>12</v>
          </cell>
          <cell r="U21">
            <v>5</v>
          </cell>
          <cell r="V21">
            <v>12</v>
          </cell>
          <cell r="W21">
            <v>5</v>
          </cell>
          <cell r="X21">
            <v>8</v>
          </cell>
          <cell r="Y21">
            <v>11</v>
          </cell>
          <cell r="Z21">
            <v>24</v>
          </cell>
          <cell r="AA21">
            <v>17</v>
          </cell>
          <cell r="AB21">
            <v>19</v>
          </cell>
          <cell r="AC21">
            <v>14</v>
          </cell>
          <cell r="AD21">
            <v>19</v>
          </cell>
          <cell r="AE21">
            <v>12</v>
          </cell>
          <cell r="AF21">
            <v>40</v>
          </cell>
        </row>
      </sheetData>
      <sheetData sheetId="3">
        <row r="21">
          <cell r="J21">
            <v>1</v>
          </cell>
          <cell r="K21">
            <v>0</v>
          </cell>
          <cell r="L21">
            <v>6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3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1576</v>
          </cell>
        </row>
        <row r="24">
          <cell r="B24">
            <v>53</v>
          </cell>
        </row>
      </sheetData>
      <sheetData sheetId="5">
        <row r="11">
          <cell r="C11">
            <v>16</v>
          </cell>
        </row>
        <row r="13">
          <cell r="C13">
            <v>15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2</v>
          </cell>
          <cell r="P114">
            <v>1</v>
          </cell>
          <cell r="Q114">
            <v>3</v>
          </cell>
          <cell r="R114">
            <v>1</v>
          </cell>
          <cell r="S114">
            <v>5</v>
          </cell>
          <cell r="T114">
            <v>3</v>
          </cell>
          <cell r="U114">
            <v>3</v>
          </cell>
          <cell r="V114">
            <v>2</v>
          </cell>
          <cell r="W114">
            <v>1</v>
          </cell>
          <cell r="X114">
            <v>6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73</v>
          </cell>
        </row>
        <row r="234">
          <cell r="C234">
            <v>4</v>
          </cell>
        </row>
        <row r="241">
          <cell r="AN241">
            <v>49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249</v>
          </cell>
        </row>
        <row r="22">
          <cell r="C22">
            <v>920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6</v>
          </cell>
          <cell r="AF136">
            <v>80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3</v>
          </cell>
          <cell r="N12">
            <v>1</v>
          </cell>
          <cell r="O12">
            <v>3</v>
          </cell>
          <cell r="P12">
            <v>2</v>
          </cell>
          <cell r="Q12">
            <v>1</v>
          </cell>
          <cell r="R12">
            <v>1</v>
          </cell>
          <cell r="S12">
            <v>14</v>
          </cell>
          <cell r="T12">
            <v>8</v>
          </cell>
          <cell r="U12">
            <v>9</v>
          </cell>
          <cell r="V12">
            <v>11</v>
          </cell>
          <cell r="W12">
            <v>15</v>
          </cell>
          <cell r="X12">
            <v>12</v>
          </cell>
          <cell r="Y12">
            <v>13</v>
          </cell>
          <cell r="Z12">
            <v>19</v>
          </cell>
          <cell r="AA12">
            <v>14</v>
          </cell>
          <cell r="AB12">
            <v>20</v>
          </cell>
        </row>
        <row r="48">
          <cell r="G48">
            <v>4</v>
          </cell>
          <cell r="H48">
            <v>6</v>
          </cell>
          <cell r="I48">
            <v>7</v>
          </cell>
          <cell r="J48">
            <v>4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154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9</v>
          </cell>
        </row>
        <row r="23">
          <cell r="C23">
            <v>0</v>
          </cell>
        </row>
        <row r="24">
          <cell r="C24">
            <v>13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7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16</v>
          </cell>
        </row>
      </sheetData>
      <sheetData sheetId="27"/>
      <sheetData sheetId="2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219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39</v>
          </cell>
        </row>
        <row r="63">
          <cell r="C63">
            <v>0</v>
          </cell>
        </row>
        <row r="74">
          <cell r="C74">
            <v>43</v>
          </cell>
          <cell r="F74">
            <v>11</v>
          </cell>
        </row>
      </sheetData>
      <sheetData sheetId="2">
        <row r="21">
          <cell r="G21">
            <v>11</v>
          </cell>
          <cell r="H21">
            <v>14</v>
          </cell>
          <cell r="I21">
            <v>7</v>
          </cell>
          <cell r="J21">
            <v>10</v>
          </cell>
          <cell r="K21">
            <v>5</v>
          </cell>
          <cell r="L21">
            <v>19</v>
          </cell>
          <cell r="M21">
            <v>4</v>
          </cell>
          <cell r="N21">
            <v>20</v>
          </cell>
          <cell r="O21">
            <v>3</v>
          </cell>
          <cell r="P21">
            <v>8</v>
          </cell>
          <cell r="Q21">
            <v>4</v>
          </cell>
          <cell r="R21">
            <v>11</v>
          </cell>
          <cell r="S21">
            <v>4</v>
          </cell>
          <cell r="T21">
            <v>11</v>
          </cell>
          <cell r="U21">
            <v>4</v>
          </cell>
          <cell r="V21">
            <v>10</v>
          </cell>
          <cell r="W21">
            <v>5</v>
          </cell>
          <cell r="X21">
            <v>4</v>
          </cell>
          <cell r="Y21">
            <v>12</v>
          </cell>
          <cell r="Z21">
            <v>23</v>
          </cell>
          <cell r="AA21">
            <v>12</v>
          </cell>
          <cell r="AB21">
            <v>25</v>
          </cell>
          <cell r="AC21">
            <v>10</v>
          </cell>
          <cell r="AD21">
            <v>11</v>
          </cell>
          <cell r="AE21">
            <v>15</v>
          </cell>
          <cell r="AF21">
            <v>32</v>
          </cell>
        </row>
      </sheetData>
      <sheetData sheetId="3">
        <row r="21">
          <cell r="J21"/>
          <cell r="K21"/>
          <cell r="L21">
            <v>5</v>
          </cell>
          <cell r="M21">
            <v>2</v>
          </cell>
        </row>
        <row r="22">
          <cell r="J22"/>
          <cell r="K22"/>
          <cell r="L22"/>
          <cell r="M22">
            <v>2</v>
          </cell>
        </row>
        <row r="23">
          <cell r="J23"/>
          <cell r="K23"/>
          <cell r="L23">
            <v>1</v>
          </cell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1301</v>
          </cell>
        </row>
        <row r="24">
          <cell r="B24">
            <v>56</v>
          </cell>
        </row>
      </sheetData>
      <sheetData sheetId="5">
        <row r="11">
          <cell r="C11">
            <v>14</v>
          </cell>
        </row>
        <row r="13">
          <cell r="C13">
            <v>14</v>
          </cell>
        </row>
        <row r="114">
          <cell r="H114">
            <v>1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0</v>
          </cell>
          <cell r="P114">
            <v>1</v>
          </cell>
          <cell r="Q114">
            <v>2</v>
          </cell>
          <cell r="R114">
            <v>1</v>
          </cell>
          <cell r="S114">
            <v>0</v>
          </cell>
          <cell r="T114">
            <v>1</v>
          </cell>
          <cell r="U114">
            <v>3</v>
          </cell>
          <cell r="V114">
            <v>0</v>
          </cell>
          <cell r="W114">
            <v>0</v>
          </cell>
          <cell r="X114">
            <v>1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1</v>
          </cell>
          <cell r="W127">
            <v>0</v>
          </cell>
          <cell r="X127">
            <v>0</v>
          </cell>
          <cell r="Y127">
            <v>2</v>
          </cell>
        </row>
        <row r="186">
          <cell r="C186">
            <v>75</v>
          </cell>
        </row>
        <row r="234">
          <cell r="C234">
            <v>10</v>
          </cell>
        </row>
        <row r="241">
          <cell r="AN241">
            <v>46</v>
          </cell>
          <cell r="AO241"/>
          <cell r="AP241"/>
        </row>
      </sheetData>
      <sheetData sheetId="6">
        <row r="12">
          <cell r="C12">
            <v>204</v>
          </cell>
        </row>
        <row r="22">
          <cell r="C22">
            <v>687</v>
          </cell>
        </row>
        <row r="23">
          <cell r="C23">
            <v>0</v>
          </cell>
        </row>
        <row r="32">
          <cell r="E32">
            <v>3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62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2</v>
          </cell>
          <cell r="N12">
            <v>1</v>
          </cell>
          <cell r="O12">
            <v>1</v>
          </cell>
          <cell r="P12">
            <v>1</v>
          </cell>
          <cell r="Q12">
            <v>6</v>
          </cell>
          <cell r="R12">
            <v>3</v>
          </cell>
          <cell r="S12">
            <v>7</v>
          </cell>
          <cell r="T12">
            <v>6</v>
          </cell>
          <cell r="U12">
            <v>7</v>
          </cell>
          <cell r="V12">
            <v>7</v>
          </cell>
          <cell r="W12">
            <v>9</v>
          </cell>
          <cell r="X12">
            <v>14</v>
          </cell>
          <cell r="Y12">
            <v>15</v>
          </cell>
          <cell r="Z12">
            <v>18</v>
          </cell>
          <cell r="AA12">
            <v>13</v>
          </cell>
          <cell r="AB12">
            <v>19</v>
          </cell>
        </row>
        <row r="48">
          <cell r="G48">
            <v>9</v>
          </cell>
          <cell r="H48">
            <v>1</v>
          </cell>
          <cell r="I48">
            <v>2</v>
          </cell>
          <cell r="J48">
            <v>0</v>
          </cell>
          <cell r="K48">
            <v>3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72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3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/>
        </row>
        <row r="40">
          <cell r="C40"/>
          <cell r="D40"/>
          <cell r="E40"/>
        </row>
        <row r="41">
          <cell r="C41">
            <v>2</v>
          </cell>
          <cell r="D41"/>
          <cell r="E41">
            <v>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13</v>
          </cell>
        </row>
      </sheetData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2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93</v>
          </cell>
        </row>
        <row r="44">
          <cell r="C44">
            <v>279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125</v>
          </cell>
        </row>
        <row r="63">
          <cell r="C63">
            <v>0</v>
          </cell>
        </row>
        <row r="74">
          <cell r="C74">
            <v>24</v>
          </cell>
          <cell r="F74">
            <v>9</v>
          </cell>
        </row>
      </sheetData>
      <sheetData sheetId="2">
        <row r="21">
          <cell r="G21">
            <v>4</v>
          </cell>
          <cell r="H21">
            <v>9</v>
          </cell>
          <cell r="I21">
            <v>3</v>
          </cell>
          <cell r="J21">
            <v>11</v>
          </cell>
          <cell r="K21">
            <v>3</v>
          </cell>
          <cell r="L21">
            <v>9</v>
          </cell>
          <cell r="M21">
            <v>5</v>
          </cell>
          <cell r="N21">
            <v>12</v>
          </cell>
          <cell r="O21">
            <v>6</v>
          </cell>
          <cell r="P21">
            <v>7</v>
          </cell>
          <cell r="Q21">
            <v>5</v>
          </cell>
          <cell r="R21">
            <v>4</v>
          </cell>
          <cell r="S21">
            <v>3</v>
          </cell>
          <cell r="T21">
            <v>8</v>
          </cell>
          <cell r="U21">
            <v>2</v>
          </cell>
          <cell r="V21">
            <v>6</v>
          </cell>
          <cell r="W21">
            <v>2</v>
          </cell>
          <cell r="X21">
            <v>5</v>
          </cell>
          <cell r="Y21">
            <v>14</v>
          </cell>
          <cell r="Z21">
            <v>32</v>
          </cell>
          <cell r="AA21">
            <v>12</v>
          </cell>
          <cell r="AB21">
            <v>45</v>
          </cell>
          <cell r="AC21">
            <v>14</v>
          </cell>
          <cell r="AD21">
            <v>29</v>
          </cell>
          <cell r="AE21">
            <v>15</v>
          </cell>
          <cell r="AF21">
            <v>42</v>
          </cell>
        </row>
      </sheetData>
      <sheetData sheetId="3">
        <row r="21">
          <cell r="J21">
            <v>0</v>
          </cell>
          <cell r="K21">
            <v>1</v>
          </cell>
          <cell r="L21">
            <v>2</v>
          </cell>
          <cell r="M21">
            <v>5</v>
          </cell>
        </row>
        <row r="22">
          <cell r="J22">
            <v>2</v>
          </cell>
          <cell r="K22"/>
          <cell r="L22"/>
          <cell r="M22"/>
        </row>
        <row r="23">
          <cell r="J23">
            <v>2</v>
          </cell>
          <cell r="K23">
            <v>1</v>
          </cell>
          <cell r="L23">
            <v>2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1</v>
          </cell>
          <cell r="M24"/>
        </row>
      </sheetData>
      <sheetData sheetId="4">
        <row r="12">
          <cell r="B12">
            <v>858</v>
          </cell>
        </row>
        <row r="24">
          <cell r="B24">
            <v>65</v>
          </cell>
        </row>
      </sheetData>
      <sheetData sheetId="5">
        <row r="11">
          <cell r="C11">
            <v>17</v>
          </cell>
        </row>
        <row r="13">
          <cell r="C13">
            <v>17</v>
          </cell>
        </row>
        <row r="114"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3</v>
          </cell>
          <cell r="R114">
            <v>0</v>
          </cell>
          <cell r="S114">
            <v>2</v>
          </cell>
          <cell r="T114">
            <v>0</v>
          </cell>
          <cell r="U114">
            <v>2</v>
          </cell>
          <cell r="V114">
            <v>0</v>
          </cell>
          <cell r="W114">
            <v>1</v>
          </cell>
          <cell r="X114">
            <v>0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</v>
          </cell>
          <cell r="O127">
            <v>0</v>
          </cell>
          <cell r="P127">
            <v>1</v>
          </cell>
          <cell r="Q127">
            <v>1</v>
          </cell>
          <cell r="R127">
            <v>1</v>
          </cell>
          <cell r="S127">
            <v>2</v>
          </cell>
          <cell r="T127">
            <v>3</v>
          </cell>
          <cell r="U127">
            <v>2</v>
          </cell>
          <cell r="V127">
            <v>2</v>
          </cell>
          <cell r="W127">
            <v>2</v>
          </cell>
          <cell r="X127">
            <v>2</v>
          </cell>
          <cell r="Y127">
            <v>3</v>
          </cell>
        </row>
        <row r="186">
          <cell r="C186">
            <v>77</v>
          </cell>
        </row>
        <row r="234">
          <cell r="C234">
            <v>24</v>
          </cell>
        </row>
        <row r="241">
          <cell r="AN241">
            <v>73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244</v>
          </cell>
        </row>
        <row r="22">
          <cell r="C22">
            <v>795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60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0</v>
          </cell>
          <cell r="J12">
            <v>1</v>
          </cell>
          <cell r="K12">
            <v>0</v>
          </cell>
          <cell r="L12">
            <v>3</v>
          </cell>
          <cell r="M12">
            <v>2</v>
          </cell>
          <cell r="N12">
            <v>7</v>
          </cell>
          <cell r="O12">
            <v>6</v>
          </cell>
          <cell r="P12">
            <v>4</v>
          </cell>
          <cell r="Q12">
            <v>3</v>
          </cell>
          <cell r="R12">
            <v>7</v>
          </cell>
          <cell r="S12">
            <v>12</v>
          </cell>
          <cell r="T12">
            <v>9</v>
          </cell>
          <cell r="U12">
            <v>7</v>
          </cell>
          <cell r="V12">
            <v>7</v>
          </cell>
          <cell r="W12">
            <v>11</v>
          </cell>
          <cell r="X12">
            <v>27</v>
          </cell>
          <cell r="Y12">
            <v>15</v>
          </cell>
          <cell r="Z12">
            <v>34</v>
          </cell>
          <cell r="AA12">
            <v>10</v>
          </cell>
          <cell r="AB12">
            <v>27</v>
          </cell>
        </row>
        <row r="48">
          <cell r="G48">
            <v>5</v>
          </cell>
          <cell r="H48">
            <v>8</v>
          </cell>
          <cell r="I48">
            <v>1</v>
          </cell>
          <cell r="J48">
            <v>7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97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4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5</v>
          </cell>
          <cell r="D41"/>
          <cell r="E41">
            <v>13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18</v>
          </cell>
        </row>
      </sheetData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35</v>
          </cell>
        </row>
        <row r="44">
          <cell r="C44">
            <v>213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2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20</v>
          </cell>
          <cell r="F74">
            <v>20</v>
          </cell>
        </row>
      </sheetData>
      <sheetData sheetId="2">
        <row r="21">
          <cell r="G21">
            <v>2</v>
          </cell>
          <cell r="H21">
            <v>9</v>
          </cell>
          <cell r="I21">
            <v>3</v>
          </cell>
          <cell r="J21">
            <v>3</v>
          </cell>
          <cell r="K21">
            <v>3</v>
          </cell>
          <cell r="L21">
            <v>6</v>
          </cell>
          <cell r="M21">
            <v>1</v>
          </cell>
          <cell r="N21">
            <v>13</v>
          </cell>
          <cell r="O21">
            <v>0</v>
          </cell>
          <cell r="P21">
            <v>5</v>
          </cell>
          <cell r="Q21">
            <v>2</v>
          </cell>
          <cell r="R21">
            <v>5</v>
          </cell>
          <cell r="S21">
            <v>4</v>
          </cell>
          <cell r="T21">
            <v>4</v>
          </cell>
          <cell r="U21">
            <v>5</v>
          </cell>
          <cell r="V21">
            <v>5</v>
          </cell>
          <cell r="W21">
            <v>2</v>
          </cell>
          <cell r="X21">
            <v>3</v>
          </cell>
          <cell r="Y21">
            <v>8</v>
          </cell>
          <cell r="Z21">
            <v>13</v>
          </cell>
          <cell r="AA21">
            <v>8</v>
          </cell>
          <cell r="AB21">
            <v>9</v>
          </cell>
          <cell r="AC21">
            <v>5</v>
          </cell>
          <cell r="AD21">
            <v>14</v>
          </cell>
          <cell r="AE21">
            <v>9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1</v>
          </cell>
          <cell r="K22">
            <v>0</v>
          </cell>
          <cell r="L22">
            <v>3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713</v>
          </cell>
        </row>
        <row r="24">
          <cell r="B24">
            <v>61</v>
          </cell>
        </row>
      </sheetData>
      <sheetData sheetId="5">
        <row r="11">
          <cell r="C11">
            <v>22</v>
          </cell>
        </row>
        <row r="13">
          <cell r="C13">
            <v>21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/>
          <cell r="O114">
            <v>1</v>
          </cell>
          <cell r="P114">
            <v>1</v>
          </cell>
          <cell r="Q114">
            <v>2</v>
          </cell>
          <cell r="R114"/>
          <cell r="S114">
            <v>2</v>
          </cell>
          <cell r="T114"/>
          <cell r="U114"/>
          <cell r="V114">
            <v>1</v>
          </cell>
          <cell r="W114">
            <v>2</v>
          </cell>
          <cell r="X114"/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/>
          <cell r="T127"/>
          <cell r="U127">
            <v>1</v>
          </cell>
          <cell r="V127">
            <v>1</v>
          </cell>
          <cell r="W127"/>
          <cell r="X127">
            <v>1</v>
          </cell>
          <cell r="Y127">
            <v>2</v>
          </cell>
        </row>
        <row r="186">
          <cell r="C186">
            <v>126</v>
          </cell>
        </row>
        <row r="234">
          <cell r="C234">
            <v>30</v>
          </cell>
        </row>
        <row r="241">
          <cell r="AN241">
            <v>27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54</v>
          </cell>
        </row>
        <row r="22">
          <cell r="C22">
            <v>500</v>
          </cell>
        </row>
        <row r="23">
          <cell r="C23">
            <v>16</v>
          </cell>
        </row>
        <row r="32">
          <cell r="E32">
            <v>0</v>
          </cell>
        </row>
      </sheetData>
      <sheetData sheetId="7">
        <row r="120">
          <cell r="AE120"/>
          <cell r="AF120">
            <v>6</v>
          </cell>
        </row>
        <row r="121">
          <cell r="AE121"/>
          <cell r="AF121"/>
        </row>
        <row r="122">
          <cell r="AF122">
            <v>21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23</v>
          </cell>
          <cell r="AF136">
            <v>134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2</v>
          </cell>
          <cell r="N12">
            <v>6</v>
          </cell>
          <cell r="O12">
            <v>3</v>
          </cell>
          <cell r="P12">
            <v>5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  <cell r="U12">
            <v>2</v>
          </cell>
          <cell r="V12">
            <v>8</v>
          </cell>
          <cell r="W12">
            <v>13</v>
          </cell>
          <cell r="X12">
            <v>6</v>
          </cell>
          <cell r="Y12">
            <v>15</v>
          </cell>
          <cell r="Z12">
            <v>16</v>
          </cell>
          <cell r="AA12">
            <v>9</v>
          </cell>
          <cell r="AB12">
            <v>15</v>
          </cell>
        </row>
        <row r="48">
          <cell r="G48">
            <v>6</v>
          </cell>
          <cell r="H48">
            <v>3</v>
          </cell>
          <cell r="I48">
            <v>3</v>
          </cell>
          <cell r="J48">
            <v>6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7</v>
          </cell>
          <cell r="D41">
            <v>6</v>
          </cell>
          <cell r="E41">
            <v>20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14</v>
          </cell>
        </row>
        <row r="44">
          <cell r="C44">
            <v>143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0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17</v>
          </cell>
          <cell r="F74">
            <v>7</v>
          </cell>
        </row>
      </sheetData>
      <sheetData sheetId="2">
        <row r="21">
          <cell r="G21">
            <v>0</v>
          </cell>
          <cell r="H21">
            <v>7</v>
          </cell>
          <cell r="I21">
            <v>4</v>
          </cell>
          <cell r="J21">
            <v>11</v>
          </cell>
          <cell r="K21">
            <v>2</v>
          </cell>
          <cell r="L21">
            <v>7</v>
          </cell>
          <cell r="M21">
            <v>2</v>
          </cell>
          <cell r="N21">
            <v>6</v>
          </cell>
          <cell r="O21">
            <v>2</v>
          </cell>
          <cell r="P21">
            <v>8</v>
          </cell>
          <cell r="Q21">
            <v>3</v>
          </cell>
          <cell r="R21">
            <v>3</v>
          </cell>
          <cell r="S21">
            <v>1</v>
          </cell>
          <cell r="T21">
            <v>3</v>
          </cell>
          <cell r="U21">
            <v>2</v>
          </cell>
          <cell r="V21">
            <v>1</v>
          </cell>
          <cell r="W21">
            <v>1</v>
          </cell>
          <cell r="X21">
            <v>3</v>
          </cell>
          <cell r="Y21">
            <v>9</v>
          </cell>
          <cell r="Z21">
            <v>9</v>
          </cell>
          <cell r="AA21">
            <v>2</v>
          </cell>
          <cell r="AB21">
            <v>9</v>
          </cell>
          <cell r="AC21">
            <v>9</v>
          </cell>
          <cell r="AD21">
            <v>1</v>
          </cell>
          <cell r="AE21">
            <v>2</v>
          </cell>
          <cell r="AF21">
            <v>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2882</v>
          </cell>
        </row>
        <row r="24">
          <cell r="B24">
            <v>40</v>
          </cell>
        </row>
      </sheetData>
      <sheetData sheetId="5">
        <row r="11">
          <cell r="C11">
            <v>16</v>
          </cell>
        </row>
        <row r="13">
          <cell r="C13">
            <v>13</v>
          </cell>
        </row>
        <row r="114"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1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0</v>
          </cell>
          <cell r="T114">
            <v>1</v>
          </cell>
          <cell r="U114">
            <v>2</v>
          </cell>
          <cell r="V114">
            <v>0</v>
          </cell>
          <cell r="W114">
            <v>0</v>
          </cell>
          <cell r="X114">
            <v>1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53</v>
          </cell>
        </row>
        <row r="234">
          <cell r="C234">
            <v>8</v>
          </cell>
        </row>
        <row r="241">
          <cell r="AN241">
            <v>3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45</v>
          </cell>
        </row>
        <row r="22">
          <cell r="C22">
            <v>257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>
            <v>0</v>
          </cell>
          <cell r="AF120">
            <v>7</v>
          </cell>
        </row>
        <row r="121">
          <cell r="AE121">
            <v>0</v>
          </cell>
          <cell r="AF121">
            <v>0</v>
          </cell>
        </row>
        <row r="122">
          <cell r="AF122">
            <v>16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127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2</v>
          </cell>
          <cell r="P12">
            <v>2</v>
          </cell>
          <cell r="Q12">
            <v>1</v>
          </cell>
          <cell r="R12">
            <v>0</v>
          </cell>
          <cell r="S12">
            <v>1</v>
          </cell>
          <cell r="T12">
            <v>1</v>
          </cell>
          <cell r="U12">
            <v>4</v>
          </cell>
          <cell r="V12">
            <v>3</v>
          </cell>
          <cell r="W12">
            <v>15</v>
          </cell>
          <cell r="X12">
            <v>6</v>
          </cell>
          <cell r="Y12">
            <v>4</v>
          </cell>
          <cell r="Z12">
            <v>10</v>
          </cell>
          <cell r="AA12">
            <v>11</v>
          </cell>
          <cell r="AB12">
            <v>10</v>
          </cell>
        </row>
        <row r="48">
          <cell r="G48">
            <v>8</v>
          </cell>
          <cell r="H48">
            <v>4</v>
          </cell>
          <cell r="I48">
            <v>1</v>
          </cell>
          <cell r="J48">
            <v>5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</v>
          </cell>
          <cell r="D41">
            <v>1</v>
          </cell>
          <cell r="E41">
            <v>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181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31</v>
          </cell>
        </row>
        <row r="63">
          <cell r="C63">
            <v>0</v>
          </cell>
        </row>
        <row r="74">
          <cell r="C74">
            <v>3</v>
          </cell>
          <cell r="F74">
            <v>1</v>
          </cell>
        </row>
      </sheetData>
      <sheetData sheetId="2">
        <row r="21">
          <cell r="G21">
            <v>1</v>
          </cell>
          <cell r="H21">
            <v>4</v>
          </cell>
          <cell r="I21">
            <v>2</v>
          </cell>
          <cell r="J21">
            <v>6</v>
          </cell>
          <cell r="K21">
            <v>2</v>
          </cell>
          <cell r="L21">
            <v>14</v>
          </cell>
          <cell r="M21">
            <v>2</v>
          </cell>
          <cell r="N21">
            <v>13</v>
          </cell>
          <cell r="O21">
            <v>3</v>
          </cell>
          <cell r="P21">
            <v>1</v>
          </cell>
          <cell r="Q21">
            <v>2</v>
          </cell>
          <cell r="R21">
            <v>7</v>
          </cell>
          <cell r="S21">
            <v>1</v>
          </cell>
          <cell r="T21">
            <v>4</v>
          </cell>
          <cell r="U21">
            <v>0</v>
          </cell>
          <cell r="V21">
            <v>4</v>
          </cell>
          <cell r="W21">
            <v>0</v>
          </cell>
          <cell r="X21">
            <v>4</v>
          </cell>
          <cell r="Y21">
            <v>5</v>
          </cell>
          <cell r="Z21">
            <v>4</v>
          </cell>
          <cell r="AA21">
            <v>9</v>
          </cell>
          <cell r="AB21">
            <v>12</v>
          </cell>
          <cell r="AC21">
            <v>2</v>
          </cell>
          <cell r="AD21">
            <v>7</v>
          </cell>
          <cell r="AE21">
            <v>7</v>
          </cell>
          <cell r="AF21">
            <v>9</v>
          </cell>
        </row>
      </sheetData>
      <sheetData sheetId="3">
        <row r="21">
          <cell r="J21">
            <v>1</v>
          </cell>
          <cell r="K21">
            <v>1</v>
          </cell>
          <cell r="L21">
            <v>5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800</v>
          </cell>
        </row>
        <row r="24">
          <cell r="B24">
            <v>66</v>
          </cell>
        </row>
      </sheetData>
      <sheetData sheetId="5">
        <row r="11">
          <cell r="C11">
            <v>20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>
            <v>1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106</v>
          </cell>
        </row>
        <row r="234">
          <cell r="C234">
            <v>42</v>
          </cell>
        </row>
        <row r="241">
          <cell r="AN241">
            <v>69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62</v>
          </cell>
        </row>
        <row r="22">
          <cell r="C22">
            <v>407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9</v>
          </cell>
        </row>
        <row r="121">
          <cell r="AE121">
            <v>0</v>
          </cell>
          <cell r="AF121">
            <v>0</v>
          </cell>
        </row>
        <row r="122">
          <cell r="AF122">
            <v>15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21</v>
          </cell>
          <cell r="AF136">
            <v>220</v>
          </cell>
        </row>
      </sheetData>
      <sheetData sheetId="8"/>
      <sheetData sheetId="9">
        <row r="12">
          <cell r="G12">
            <v>0</v>
          </cell>
          <cell r="H12">
            <v>2</v>
          </cell>
          <cell r="I12">
            <v>1</v>
          </cell>
          <cell r="J12">
            <v>0</v>
          </cell>
          <cell r="K12">
            <v>2</v>
          </cell>
          <cell r="L12">
            <v>1</v>
          </cell>
          <cell r="M12">
            <v>1</v>
          </cell>
          <cell r="N12">
            <v>4</v>
          </cell>
          <cell r="O12">
            <v>3</v>
          </cell>
          <cell r="P12">
            <v>4</v>
          </cell>
          <cell r="Q12">
            <v>1</v>
          </cell>
          <cell r="R12">
            <v>0</v>
          </cell>
          <cell r="S12">
            <v>2</v>
          </cell>
          <cell r="T12">
            <v>4</v>
          </cell>
          <cell r="U12">
            <v>4</v>
          </cell>
          <cell r="V12">
            <v>6</v>
          </cell>
          <cell r="W12">
            <v>15</v>
          </cell>
          <cell r="X12">
            <v>6</v>
          </cell>
          <cell r="Y12">
            <v>11</v>
          </cell>
          <cell r="Z12">
            <v>17</v>
          </cell>
          <cell r="AA12">
            <v>12</v>
          </cell>
          <cell r="AB12">
            <v>18</v>
          </cell>
        </row>
        <row r="48">
          <cell r="G48">
            <v>8</v>
          </cell>
          <cell r="H48">
            <v>11</v>
          </cell>
          <cell r="I48">
            <v>6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331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20</v>
          </cell>
        </row>
        <row r="63">
          <cell r="C63">
            <v>0</v>
          </cell>
        </row>
        <row r="74">
          <cell r="C74">
            <v>12</v>
          </cell>
          <cell r="F74">
            <v>3</v>
          </cell>
        </row>
      </sheetData>
      <sheetData sheetId="2">
        <row r="21">
          <cell r="G21">
            <v>5</v>
          </cell>
          <cell r="H21">
            <v>3</v>
          </cell>
          <cell r="I21">
            <v>6</v>
          </cell>
          <cell r="J21">
            <v>7</v>
          </cell>
          <cell r="K21">
            <v>1</v>
          </cell>
          <cell r="L21">
            <v>11</v>
          </cell>
          <cell r="M21">
            <v>2</v>
          </cell>
          <cell r="N21">
            <v>7</v>
          </cell>
          <cell r="O21">
            <v>1</v>
          </cell>
          <cell r="P21">
            <v>9</v>
          </cell>
          <cell r="Q21">
            <v>1</v>
          </cell>
          <cell r="R21">
            <v>4</v>
          </cell>
          <cell r="S21">
            <v>3</v>
          </cell>
          <cell r="T21">
            <v>6</v>
          </cell>
          <cell r="U21">
            <v>1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6</v>
          </cell>
          <cell r="AA21">
            <v>9</v>
          </cell>
          <cell r="AB21">
            <v>13</v>
          </cell>
          <cell r="AC21">
            <v>7</v>
          </cell>
          <cell r="AD21">
            <v>10</v>
          </cell>
          <cell r="AE21">
            <v>8</v>
          </cell>
          <cell r="AF21">
            <v>8</v>
          </cell>
        </row>
      </sheetData>
      <sheetData sheetId="3">
        <row r="21">
          <cell r="J21"/>
          <cell r="K21"/>
          <cell r="L21">
            <v>3</v>
          </cell>
          <cell r="M21">
            <v>6</v>
          </cell>
        </row>
        <row r="22">
          <cell r="J22"/>
          <cell r="K22"/>
          <cell r="L22">
            <v>1</v>
          </cell>
          <cell r="M22">
            <v>2</v>
          </cell>
        </row>
        <row r="23">
          <cell r="J23"/>
          <cell r="K23"/>
          <cell r="L23">
            <v>0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11</v>
          </cell>
        </row>
        <row r="13">
          <cell r="C13">
            <v>7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/>
          <cell r="T114">
            <v>3</v>
          </cell>
          <cell r="U114"/>
          <cell r="V114">
            <v>2</v>
          </cell>
          <cell r="W114">
            <v>2</v>
          </cell>
          <cell r="X114"/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74</v>
          </cell>
        </row>
        <row r="234">
          <cell r="C234">
            <v>24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72</v>
          </cell>
        </row>
        <row r="22">
          <cell r="C22">
            <v>370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6</v>
          </cell>
          <cell r="AF136">
            <v>103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3</v>
          </cell>
          <cell r="N12">
            <v>3</v>
          </cell>
          <cell r="O12">
            <v>2</v>
          </cell>
          <cell r="P12">
            <v>2</v>
          </cell>
          <cell r="Q12">
            <v>4</v>
          </cell>
          <cell r="R12">
            <v>1</v>
          </cell>
          <cell r="S12">
            <v>9</v>
          </cell>
          <cell r="T12">
            <v>4</v>
          </cell>
          <cell r="U12">
            <v>5</v>
          </cell>
          <cell r="V12">
            <v>6</v>
          </cell>
          <cell r="W12">
            <v>6</v>
          </cell>
          <cell r="X12">
            <v>3</v>
          </cell>
          <cell r="Y12">
            <v>12</v>
          </cell>
          <cell r="Z12">
            <v>8</v>
          </cell>
          <cell r="AA12">
            <v>13</v>
          </cell>
          <cell r="AB12">
            <v>12</v>
          </cell>
        </row>
        <row r="48">
          <cell r="G48">
            <v>5</v>
          </cell>
          <cell r="H48">
            <v>5</v>
          </cell>
          <cell r="I48">
            <v>6</v>
          </cell>
          <cell r="J48">
            <v>4</v>
          </cell>
          <cell r="K48">
            <v>5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9</v>
          </cell>
        </row>
        <row r="40">
          <cell r="C40">
            <v>4</v>
          </cell>
          <cell r="D40"/>
          <cell r="E40">
            <v>3</v>
          </cell>
        </row>
        <row r="41">
          <cell r="C41">
            <v>7</v>
          </cell>
          <cell r="D41">
            <v>6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320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121</v>
          </cell>
        </row>
        <row r="63">
          <cell r="C63">
            <v>0</v>
          </cell>
        </row>
        <row r="74">
          <cell r="C74">
            <v>50</v>
          </cell>
          <cell r="F74">
            <v>12</v>
          </cell>
        </row>
      </sheetData>
      <sheetData sheetId="2">
        <row r="21">
          <cell r="G21">
            <v>2</v>
          </cell>
          <cell r="H21">
            <v>3</v>
          </cell>
          <cell r="I21">
            <v>2</v>
          </cell>
          <cell r="J21">
            <v>1</v>
          </cell>
          <cell r="K21">
            <v>3</v>
          </cell>
          <cell r="L21">
            <v>4</v>
          </cell>
          <cell r="M21">
            <v>3</v>
          </cell>
          <cell r="N21">
            <v>2</v>
          </cell>
          <cell r="O21">
            <v>2</v>
          </cell>
          <cell r="P21">
            <v>3</v>
          </cell>
          <cell r="Q21">
            <v>4</v>
          </cell>
          <cell r="R21">
            <v>0</v>
          </cell>
          <cell r="S21">
            <v>2</v>
          </cell>
          <cell r="T21">
            <v>0</v>
          </cell>
          <cell r="U21">
            <v>3</v>
          </cell>
          <cell r="V21">
            <v>4</v>
          </cell>
          <cell r="W21">
            <v>3</v>
          </cell>
          <cell r="X21">
            <v>2</v>
          </cell>
          <cell r="Y21">
            <v>9</v>
          </cell>
          <cell r="Z21">
            <v>17</v>
          </cell>
          <cell r="AA21">
            <v>10</v>
          </cell>
          <cell r="AB21">
            <v>16</v>
          </cell>
          <cell r="AC21">
            <v>5</v>
          </cell>
          <cell r="AD21">
            <v>30</v>
          </cell>
          <cell r="AE21">
            <v>22</v>
          </cell>
          <cell r="AF21">
            <v>42</v>
          </cell>
        </row>
      </sheetData>
      <sheetData sheetId="3">
        <row r="21">
          <cell r="J21">
            <v>1</v>
          </cell>
          <cell r="K21">
            <v>2</v>
          </cell>
          <cell r="L21">
            <v>3</v>
          </cell>
          <cell r="M21">
            <v>13</v>
          </cell>
        </row>
        <row r="22">
          <cell r="J22"/>
          <cell r="K22"/>
          <cell r="L22"/>
          <cell r="M22"/>
        </row>
        <row r="23">
          <cell r="J23">
            <v>1</v>
          </cell>
          <cell r="K23">
            <v>2</v>
          </cell>
          <cell r="L23"/>
          <cell r="M23">
            <v>1</v>
          </cell>
        </row>
        <row r="24">
          <cell r="J24"/>
          <cell r="K24"/>
          <cell r="L24"/>
          <cell r="M24">
            <v>2</v>
          </cell>
        </row>
      </sheetData>
      <sheetData sheetId="4">
        <row r="12">
          <cell r="B12">
            <v>1884</v>
          </cell>
        </row>
        <row r="24">
          <cell r="B24">
            <v>37</v>
          </cell>
        </row>
      </sheetData>
      <sheetData sheetId="5">
        <row r="11">
          <cell r="C11">
            <v>29</v>
          </cell>
        </row>
        <row r="13">
          <cell r="C13">
            <v>28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3</v>
          </cell>
          <cell r="V114">
            <v>1</v>
          </cell>
          <cell r="W114">
            <v>1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>
            <v>2</v>
          </cell>
          <cell r="Y127"/>
        </row>
        <row r="186">
          <cell r="C186">
            <v>66</v>
          </cell>
        </row>
        <row r="234">
          <cell r="C234">
            <v>23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179</v>
          </cell>
        </row>
        <row r="22">
          <cell r="C22">
            <v>780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85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41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>
            <v>1</v>
          </cell>
          <cell r="E38">
            <v>12</v>
          </cell>
        </row>
        <row r="40">
          <cell r="C40">
            <v>4</v>
          </cell>
          <cell r="D40">
            <v>3</v>
          </cell>
          <cell r="E40">
            <v>4</v>
          </cell>
        </row>
        <row r="41">
          <cell r="C41">
            <v>1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20</v>
          </cell>
        </row>
      </sheetData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31</v>
          </cell>
        </row>
        <row r="44">
          <cell r="C44">
            <v>258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63</v>
          </cell>
        </row>
        <row r="63">
          <cell r="C63">
            <v>0</v>
          </cell>
        </row>
        <row r="74">
          <cell r="C74">
            <v>17</v>
          </cell>
          <cell r="F74">
            <v>2</v>
          </cell>
        </row>
      </sheetData>
      <sheetData sheetId="2">
        <row r="21">
          <cell r="G21">
            <v>5</v>
          </cell>
          <cell r="H21">
            <v>15</v>
          </cell>
          <cell r="I21">
            <v>3</v>
          </cell>
          <cell r="J21">
            <v>11</v>
          </cell>
          <cell r="K21">
            <v>7</v>
          </cell>
          <cell r="L21">
            <v>17</v>
          </cell>
          <cell r="M21">
            <v>7</v>
          </cell>
          <cell r="N21">
            <v>10</v>
          </cell>
          <cell r="O21">
            <v>4</v>
          </cell>
          <cell r="P21">
            <v>13</v>
          </cell>
          <cell r="Q21">
            <v>1</v>
          </cell>
          <cell r="R21">
            <v>13</v>
          </cell>
          <cell r="S21">
            <v>7</v>
          </cell>
          <cell r="T21">
            <v>9</v>
          </cell>
          <cell r="U21">
            <v>3</v>
          </cell>
          <cell r="V21">
            <v>6</v>
          </cell>
          <cell r="W21">
            <v>2</v>
          </cell>
          <cell r="X21">
            <v>8</v>
          </cell>
          <cell r="Y21">
            <v>7</v>
          </cell>
          <cell r="Z21">
            <v>23</v>
          </cell>
          <cell r="AA21">
            <v>12</v>
          </cell>
          <cell r="AB21">
            <v>9</v>
          </cell>
          <cell r="AC21">
            <v>6</v>
          </cell>
          <cell r="AD21">
            <v>10</v>
          </cell>
          <cell r="AE21">
            <v>5</v>
          </cell>
          <cell r="AF21">
            <v>15</v>
          </cell>
        </row>
      </sheetData>
      <sheetData sheetId="3">
        <row r="21">
          <cell r="J21">
            <v>1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1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1</v>
          </cell>
          <cell r="L24">
            <v>1</v>
          </cell>
          <cell r="M24">
            <v>1</v>
          </cell>
        </row>
      </sheetData>
      <sheetData sheetId="4">
        <row r="12">
          <cell r="B12">
            <v>1108</v>
          </cell>
        </row>
        <row r="24">
          <cell r="B24">
            <v>84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>
            <v>1</v>
          </cell>
          <cell r="T114"/>
          <cell r="U114">
            <v>2</v>
          </cell>
          <cell r="V114">
            <v>1</v>
          </cell>
          <cell r="W114">
            <v>1</v>
          </cell>
          <cell r="X114">
            <v>1</v>
          </cell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>
            <v>1</v>
          </cell>
          <cell r="Q127"/>
          <cell r="R127"/>
          <cell r="S127">
            <v>1</v>
          </cell>
          <cell r="T127"/>
          <cell r="U127">
            <v>1</v>
          </cell>
          <cell r="V127"/>
          <cell r="W127"/>
          <cell r="X127"/>
          <cell r="Y127">
            <v>1</v>
          </cell>
        </row>
        <row r="186">
          <cell r="C186">
            <v>77</v>
          </cell>
        </row>
        <row r="234">
          <cell r="C234">
            <v>8</v>
          </cell>
        </row>
        <row r="241">
          <cell r="AN241">
            <v>4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47</v>
          </cell>
        </row>
        <row r="22">
          <cell r="C22">
            <v>365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8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20</v>
          </cell>
          <cell r="AF136">
            <v>119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1</v>
          </cell>
          <cell r="N12">
            <v>3</v>
          </cell>
          <cell r="O12">
            <v>6</v>
          </cell>
          <cell r="P12">
            <v>5</v>
          </cell>
          <cell r="Q12">
            <v>3</v>
          </cell>
          <cell r="R12">
            <v>5</v>
          </cell>
          <cell r="S12">
            <v>9</v>
          </cell>
          <cell r="T12">
            <v>4</v>
          </cell>
          <cell r="U12">
            <v>14</v>
          </cell>
          <cell r="V12">
            <v>7</v>
          </cell>
          <cell r="W12">
            <v>13</v>
          </cell>
          <cell r="X12">
            <v>8</v>
          </cell>
          <cell r="Y12">
            <v>20</v>
          </cell>
          <cell r="Z12">
            <v>18</v>
          </cell>
          <cell r="AA12">
            <v>8</v>
          </cell>
          <cell r="AB12">
            <v>12</v>
          </cell>
        </row>
        <row r="48">
          <cell r="G48">
            <v>3</v>
          </cell>
          <cell r="H48">
            <v>6</v>
          </cell>
          <cell r="I48">
            <v>3</v>
          </cell>
          <cell r="J48">
            <v>10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6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5</v>
          </cell>
          <cell r="D41">
            <v>4</v>
          </cell>
          <cell r="E41">
            <v>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356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62</v>
          </cell>
        </row>
        <row r="63">
          <cell r="C63">
            <v>0</v>
          </cell>
        </row>
        <row r="74">
          <cell r="C74">
            <v>26</v>
          </cell>
          <cell r="F74">
            <v>8</v>
          </cell>
        </row>
      </sheetData>
      <sheetData sheetId="2">
        <row r="21">
          <cell r="G21">
            <v>11</v>
          </cell>
          <cell r="H21">
            <v>9</v>
          </cell>
          <cell r="I21">
            <v>9</v>
          </cell>
          <cell r="J21">
            <v>15</v>
          </cell>
          <cell r="K21">
            <v>12</v>
          </cell>
          <cell r="L21">
            <v>26</v>
          </cell>
          <cell r="M21">
            <v>9</v>
          </cell>
          <cell r="N21">
            <v>13</v>
          </cell>
          <cell r="O21">
            <v>9</v>
          </cell>
          <cell r="P21">
            <v>12</v>
          </cell>
          <cell r="Q21">
            <v>5</v>
          </cell>
          <cell r="R21">
            <v>13</v>
          </cell>
          <cell r="S21">
            <v>3</v>
          </cell>
          <cell r="T21">
            <v>12</v>
          </cell>
          <cell r="U21">
            <v>6</v>
          </cell>
          <cell r="V21">
            <v>11</v>
          </cell>
          <cell r="W21">
            <v>3</v>
          </cell>
          <cell r="X21">
            <v>12</v>
          </cell>
          <cell r="Y21">
            <v>13</v>
          </cell>
          <cell r="Z21">
            <v>28</v>
          </cell>
          <cell r="AA21">
            <v>19</v>
          </cell>
          <cell r="AB21">
            <v>39</v>
          </cell>
          <cell r="AC21">
            <v>19</v>
          </cell>
          <cell r="AD21">
            <v>18</v>
          </cell>
          <cell r="AE21">
            <v>16</v>
          </cell>
          <cell r="AF21">
            <v>18</v>
          </cell>
        </row>
      </sheetData>
      <sheetData sheetId="3">
        <row r="21">
          <cell r="J21">
            <v>0</v>
          </cell>
          <cell r="K21">
            <v>0</v>
          </cell>
          <cell r="L21">
            <v>2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1511</v>
          </cell>
        </row>
        <row r="24">
          <cell r="B24">
            <v>92</v>
          </cell>
        </row>
      </sheetData>
      <sheetData sheetId="5">
        <row r="11">
          <cell r="C11">
            <v>14</v>
          </cell>
        </row>
        <row r="13">
          <cell r="C13">
            <v>13</v>
          </cell>
        </row>
        <row r="114">
          <cell r="H114"/>
          <cell r="I114"/>
          <cell r="J114"/>
          <cell r="K114">
            <v>1</v>
          </cell>
          <cell r="L114">
            <v>3</v>
          </cell>
          <cell r="M114"/>
          <cell r="N114"/>
          <cell r="O114"/>
          <cell r="P114"/>
          <cell r="Q114"/>
          <cell r="R114">
            <v>1</v>
          </cell>
          <cell r="S114">
            <v>1</v>
          </cell>
          <cell r="T114">
            <v>1</v>
          </cell>
          <cell r="U114">
            <v>8</v>
          </cell>
          <cell r="V114"/>
          <cell r="W114">
            <v>1</v>
          </cell>
          <cell r="X114">
            <v>7</v>
          </cell>
          <cell r="Y114">
            <v>6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>
            <v>1</v>
          </cell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79</v>
          </cell>
        </row>
        <row r="234">
          <cell r="C234">
            <v>33</v>
          </cell>
        </row>
        <row r="241">
          <cell r="AN241">
            <v>62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0</v>
          </cell>
        </row>
        <row r="22">
          <cell r="C22">
            <v>320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20</v>
          </cell>
          <cell r="AF136">
            <v>399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1</v>
          </cell>
          <cell r="K12">
            <v>2</v>
          </cell>
          <cell r="L12">
            <v>0</v>
          </cell>
          <cell r="M12">
            <v>1</v>
          </cell>
          <cell r="N12">
            <v>2</v>
          </cell>
          <cell r="O12">
            <v>1</v>
          </cell>
          <cell r="P12">
            <v>6</v>
          </cell>
          <cell r="Q12">
            <v>5</v>
          </cell>
          <cell r="R12">
            <v>1</v>
          </cell>
          <cell r="S12">
            <v>13</v>
          </cell>
          <cell r="T12">
            <v>1</v>
          </cell>
          <cell r="U12">
            <v>7</v>
          </cell>
          <cell r="V12">
            <v>6</v>
          </cell>
          <cell r="W12">
            <v>24</v>
          </cell>
          <cell r="X12">
            <v>13</v>
          </cell>
          <cell r="Y12">
            <v>19</v>
          </cell>
          <cell r="Z12">
            <v>24</v>
          </cell>
          <cell r="AA12">
            <v>6</v>
          </cell>
          <cell r="AB12">
            <v>23</v>
          </cell>
        </row>
        <row r="48">
          <cell r="G48">
            <v>3</v>
          </cell>
          <cell r="H48">
            <v>9</v>
          </cell>
          <cell r="I48">
            <v>4</v>
          </cell>
          <cell r="J48">
            <v>2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1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14</v>
          </cell>
          <cell r="D41">
            <v>16</v>
          </cell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38</v>
          </cell>
        </row>
        <row r="44">
          <cell r="C44">
            <v>294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43</v>
          </cell>
        </row>
        <row r="63">
          <cell r="C63">
            <v>0</v>
          </cell>
        </row>
        <row r="74">
          <cell r="C74">
            <v>29</v>
          </cell>
          <cell r="F74">
            <v>1</v>
          </cell>
        </row>
      </sheetData>
      <sheetData sheetId="2">
        <row r="21">
          <cell r="G21">
            <v>13</v>
          </cell>
          <cell r="H21">
            <v>8</v>
          </cell>
          <cell r="I21">
            <v>6</v>
          </cell>
          <cell r="J21">
            <v>15</v>
          </cell>
          <cell r="K21">
            <v>6</v>
          </cell>
          <cell r="L21">
            <v>6</v>
          </cell>
          <cell r="M21">
            <v>6</v>
          </cell>
          <cell r="N21">
            <v>10</v>
          </cell>
          <cell r="O21">
            <v>4</v>
          </cell>
          <cell r="P21">
            <v>12</v>
          </cell>
          <cell r="Q21">
            <v>2</v>
          </cell>
          <cell r="R21">
            <v>8</v>
          </cell>
          <cell r="S21">
            <v>6</v>
          </cell>
          <cell r="T21">
            <v>6</v>
          </cell>
          <cell r="U21">
            <v>3</v>
          </cell>
          <cell r="V21">
            <v>7</v>
          </cell>
          <cell r="W21">
            <v>3</v>
          </cell>
          <cell r="X21">
            <v>4</v>
          </cell>
          <cell r="Y21">
            <v>8</v>
          </cell>
          <cell r="Z21">
            <v>23</v>
          </cell>
          <cell r="AA21">
            <v>15</v>
          </cell>
          <cell r="AB21">
            <v>23</v>
          </cell>
          <cell r="AC21">
            <v>7</v>
          </cell>
          <cell r="AD21">
            <v>22</v>
          </cell>
          <cell r="AE21">
            <v>10</v>
          </cell>
          <cell r="AF21">
            <v>25</v>
          </cell>
        </row>
      </sheetData>
      <sheetData sheetId="3">
        <row r="21">
          <cell r="J21">
            <v>0</v>
          </cell>
          <cell r="K21">
            <v>0</v>
          </cell>
          <cell r="L21">
            <v>4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3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1440</v>
          </cell>
        </row>
        <row r="24">
          <cell r="B24">
            <v>128</v>
          </cell>
        </row>
      </sheetData>
      <sheetData sheetId="5">
        <row r="11">
          <cell r="C11">
            <v>9</v>
          </cell>
        </row>
        <row r="13">
          <cell r="C13">
            <v>8</v>
          </cell>
        </row>
        <row r="114">
          <cell r="H114"/>
          <cell r="I114">
            <v>1</v>
          </cell>
          <cell r="J114"/>
          <cell r="K114">
            <v>1</v>
          </cell>
          <cell r="L114"/>
          <cell r="M114"/>
          <cell r="N114"/>
          <cell r="O114"/>
          <cell r="P114">
            <v>1</v>
          </cell>
          <cell r="Q114">
            <v>3</v>
          </cell>
          <cell r="R114"/>
          <cell r="S114">
            <v>4</v>
          </cell>
          <cell r="T114">
            <v>2</v>
          </cell>
          <cell r="U114">
            <v>4</v>
          </cell>
          <cell r="V114">
            <v>2</v>
          </cell>
          <cell r="W114">
            <v>4</v>
          </cell>
          <cell r="X114">
            <v>4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>
            <v>1</v>
          </cell>
          <cell r="W127"/>
          <cell r="X127"/>
          <cell r="Y127">
            <v>1</v>
          </cell>
        </row>
        <row r="186">
          <cell r="C186">
            <v>91</v>
          </cell>
        </row>
        <row r="234">
          <cell r="C234">
            <v>6</v>
          </cell>
        </row>
        <row r="241">
          <cell r="AN241">
            <v>2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106</v>
          </cell>
        </row>
        <row r="22">
          <cell r="C22">
            <v>499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29</v>
          </cell>
          <cell r="AF136">
            <v>448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1</v>
          </cell>
          <cell r="M12">
            <v>3</v>
          </cell>
          <cell r="N12">
            <v>6</v>
          </cell>
          <cell r="O12">
            <v>2</v>
          </cell>
          <cell r="P12">
            <v>5</v>
          </cell>
          <cell r="Q12">
            <v>10</v>
          </cell>
          <cell r="R12">
            <v>8</v>
          </cell>
          <cell r="S12">
            <v>4</v>
          </cell>
          <cell r="T12">
            <v>7</v>
          </cell>
          <cell r="U12">
            <v>4</v>
          </cell>
          <cell r="V12">
            <v>2</v>
          </cell>
          <cell r="W12">
            <v>8</v>
          </cell>
          <cell r="X12">
            <v>7</v>
          </cell>
          <cell r="Y12">
            <v>17</v>
          </cell>
          <cell r="Z12">
            <v>22</v>
          </cell>
          <cell r="AA12">
            <v>19</v>
          </cell>
          <cell r="AB12">
            <v>14</v>
          </cell>
        </row>
        <row r="48">
          <cell r="G48">
            <v>3</v>
          </cell>
          <cell r="H48">
            <v>1</v>
          </cell>
          <cell r="I48">
            <v>4</v>
          </cell>
          <cell r="J48">
            <v>1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17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6</v>
          </cell>
          <cell r="D41">
            <v>20</v>
          </cell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49</v>
          </cell>
        </row>
        <row r="44">
          <cell r="C44">
            <v>311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36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2</v>
          </cell>
          <cell r="H21">
            <v>4</v>
          </cell>
          <cell r="I21">
            <v>2</v>
          </cell>
          <cell r="J21">
            <v>7</v>
          </cell>
          <cell r="K21">
            <v>6</v>
          </cell>
          <cell r="L21">
            <v>15</v>
          </cell>
          <cell r="M21">
            <v>3</v>
          </cell>
          <cell r="N21">
            <v>15</v>
          </cell>
          <cell r="O21">
            <v>3</v>
          </cell>
          <cell r="P21">
            <v>9</v>
          </cell>
          <cell r="Q21">
            <v>2</v>
          </cell>
          <cell r="R21">
            <v>6</v>
          </cell>
          <cell r="S21">
            <v>0</v>
          </cell>
          <cell r="T21">
            <v>3</v>
          </cell>
          <cell r="U21">
            <v>4</v>
          </cell>
          <cell r="V21">
            <v>3</v>
          </cell>
          <cell r="W21">
            <v>1</v>
          </cell>
          <cell r="X21">
            <v>6</v>
          </cell>
          <cell r="Y21">
            <v>9</v>
          </cell>
          <cell r="Z21">
            <v>15</v>
          </cell>
          <cell r="AA21">
            <v>11</v>
          </cell>
          <cell r="AB21">
            <v>11</v>
          </cell>
          <cell r="AC21">
            <v>13</v>
          </cell>
          <cell r="AD21">
            <v>8</v>
          </cell>
          <cell r="AE21">
            <v>9</v>
          </cell>
          <cell r="AF21">
            <v>13</v>
          </cell>
        </row>
      </sheetData>
      <sheetData sheetId="3">
        <row r="21">
          <cell r="J21"/>
          <cell r="K21"/>
          <cell r="L21">
            <v>2</v>
          </cell>
          <cell r="M21">
            <v>4</v>
          </cell>
        </row>
        <row r="22">
          <cell r="J22"/>
          <cell r="K22"/>
          <cell r="L22"/>
          <cell r="M22">
            <v>1</v>
          </cell>
        </row>
        <row r="23">
          <cell r="J23"/>
          <cell r="K23">
            <v>1</v>
          </cell>
          <cell r="L23">
            <v>1</v>
          </cell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1189</v>
          </cell>
        </row>
        <row r="24">
          <cell r="B24">
            <v>110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/>
          <cell r="I114"/>
          <cell r="J114">
            <v>1</v>
          </cell>
          <cell r="K114"/>
          <cell r="L114"/>
          <cell r="M114"/>
          <cell r="N114"/>
          <cell r="O114">
            <v>1</v>
          </cell>
          <cell r="P114">
            <v>1</v>
          </cell>
          <cell r="Q114"/>
          <cell r="R114">
            <v>2</v>
          </cell>
          <cell r="S114"/>
          <cell r="T114">
            <v>2</v>
          </cell>
          <cell r="U114">
            <v>1</v>
          </cell>
          <cell r="V114">
            <v>1</v>
          </cell>
          <cell r="W114">
            <v>5</v>
          </cell>
          <cell r="X114">
            <v>4</v>
          </cell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>
            <v>1</v>
          </cell>
          <cell r="Y127">
            <v>2</v>
          </cell>
        </row>
        <row r="186">
          <cell r="C186">
            <v>80</v>
          </cell>
        </row>
        <row r="234">
          <cell r="C234">
            <v>8</v>
          </cell>
        </row>
        <row r="241">
          <cell r="AN241">
            <v>64</v>
          </cell>
          <cell r="AO241">
            <v>1</v>
          </cell>
          <cell r="AP241">
            <v>6</v>
          </cell>
        </row>
      </sheetData>
      <sheetData sheetId="6">
        <row r="12">
          <cell r="C12">
            <v>83</v>
          </cell>
        </row>
        <row r="22">
          <cell r="C22">
            <v>412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13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</v>
          </cell>
          <cell r="M12">
            <v>3</v>
          </cell>
          <cell r="N12">
            <v>3</v>
          </cell>
          <cell r="O12">
            <v>0</v>
          </cell>
          <cell r="P12">
            <v>2</v>
          </cell>
          <cell r="Q12">
            <v>2</v>
          </cell>
          <cell r="R12">
            <v>2</v>
          </cell>
          <cell r="S12">
            <v>8</v>
          </cell>
          <cell r="T12">
            <v>5</v>
          </cell>
          <cell r="U12">
            <v>9</v>
          </cell>
          <cell r="V12">
            <v>9</v>
          </cell>
          <cell r="W12">
            <v>18</v>
          </cell>
          <cell r="X12">
            <v>12</v>
          </cell>
          <cell r="Y12">
            <v>25</v>
          </cell>
          <cell r="Z12">
            <v>23</v>
          </cell>
          <cell r="AA12">
            <v>8</v>
          </cell>
          <cell r="AB12">
            <v>13</v>
          </cell>
        </row>
        <row r="48">
          <cell r="G48">
            <v>2</v>
          </cell>
          <cell r="H48">
            <v>4</v>
          </cell>
          <cell r="I48">
            <v>2</v>
          </cell>
          <cell r="J48">
            <v>5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1</v>
          </cell>
        </row>
        <row r="12">
          <cell r="C12">
            <v>5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11</v>
          </cell>
          <cell r="D41">
            <v>5</v>
          </cell>
          <cell r="E41">
            <v>34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</v>
          </cell>
        </row>
      </sheetData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45</v>
          </cell>
        </row>
        <row r="44">
          <cell r="C44">
            <v>224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43</v>
          </cell>
        </row>
        <row r="63">
          <cell r="C63">
            <v>0</v>
          </cell>
        </row>
        <row r="74">
          <cell r="C74">
            <v>51</v>
          </cell>
          <cell r="F74">
            <v>15</v>
          </cell>
        </row>
      </sheetData>
      <sheetData sheetId="2">
        <row r="21">
          <cell r="G21">
            <v>3</v>
          </cell>
          <cell r="H21">
            <v>3</v>
          </cell>
          <cell r="I21">
            <v>0</v>
          </cell>
          <cell r="J21">
            <v>3</v>
          </cell>
          <cell r="K21">
            <v>3</v>
          </cell>
          <cell r="L21">
            <v>9</v>
          </cell>
          <cell r="M21">
            <v>3</v>
          </cell>
          <cell r="N21">
            <v>5</v>
          </cell>
          <cell r="O21">
            <v>1</v>
          </cell>
          <cell r="P21">
            <v>5</v>
          </cell>
          <cell r="Q21">
            <v>0</v>
          </cell>
          <cell r="R21">
            <v>8</v>
          </cell>
          <cell r="S21">
            <v>4</v>
          </cell>
          <cell r="T21">
            <v>3</v>
          </cell>
          <cell r="U21">
            <v>3</v>
          </cell>
          <cell r="V21">
            <v>5</v>
          </cell>
          <cell r="W21">
            <v>1</v>
          </cell>
          <cell r="X21">
            <v>2</v>
          </cell>
          <cell r="Y21">
            <v>11</v>
          </cell>
          <cell r="Z21">
            <v>9</v>
          </cell>
          <cell r="AA21">
            <v>5</v>
          </cell>
          <cell r="AB21">
            <v>19</v>
          </cell>
          <cell r="AC21">
            <v>9</v>
          </cell>
          <cell r="AD21">
            <v>11</v>
          </cell>
          <cell r="AE21">
            <v>5</v>
          </cell>
          <cell r="AF21">
            <v>6</v>
          </cell>
        </row>
      </sheetData>
      <sheetData sheetId="3">
        <row r="21">
          <cell r="J21"/>
          <cell r="K21"/>
          <cell r="L21">
            <v>7</v>
          </cell>
          <cell r="M21">
            <v>5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826</v>
          </cell>
        </row>
        <row r="24">
          <cell r="B24">
            <v>57</v>
          </cell>
        </row>
      </sheetData>
      <sheetData sheetId="5">
        <row r="11">
          <cell r="C11">
            <v>7</v>
          </cell>
        </row>
        <row r="13">
          <cell r="C13">
            <v>7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>
            <v>1</v>
          </cell>
          <cell r="O114"/>
          <cell r="P114"/>
          <cell r="Q114">
            <v>1</v>
          </cell>
          <cell r="R114">
            <v>2</v>
          </cell>
          <cell r="S114">
            <v>2</v>
          </cell>
          <cell r="T114"/>
          <cell r="U114">
            <v>3</v>
          </cell>
          <cell r="V114">
            <v>1</v>
          </cell>
          <cell r="W114">
            <v>2</v>
          </cell>
          <cell r="X114"/>
          <cell r="Y114">
            <v>3</v>
          </cell>
        </row>
        <row r="127">
          <cell r="H127"/>
          <cell r="I127"/>
          <cell r="J127"/>
          <cell r="K127"/>
          <cell r="L127">
            <v>1</v>
          </cell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88</v>
          </cell>
        </row>
        <row r="234">
          <cell r="C234">
            <v>27</v>
          </cell>
        </row>
        <row r="241">
          <cell r="AN241">
            <v>154</v>
          </cell>
          <cell r="AO241">
            <v>0</v>
          </cell>
          <cell r="AP241">
            <v>12</v>
          </cell>
        </row>
      </sheetData>
      <sheetData sheetId="6">
        <row r="12">
          <cell r="C12">
            <v>74</v>
          </cell>
        </row>
        <row r="22">
          <cell r="C22">
            <v>399</v>
          </cell>
        </row>
        <row r="23">
          <cell r="C23">
            <v>5</v>
          </cell>
        </row>
        <row r="32">
          <cell r="E32">
            <v>1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3</v>
          </cell>
          <cell r="K12">
            <v>1</v>
          </cell>
          <cell r="L12">
            <v>2</v>
          </cell>
          <cell r="M12">
            <v>1</v>
          </cell>
          <cell r="N12">
            <v>2</v>
          </cell>
          <cell r="O12">
            <v>3</v>
          </cell>
          <cell r="P12">
            <v>2</v>
          </cell>
          <cell r="Q12">
            <v>4</v>
          </cell>
          <cell r="R12">
            <v>6</v>
          </cell>
          <cell r="S12">
            <v>3</v>
          </cell>
          <cell r="T12">
            <v>7</v>
          </cell>
          <cell r="U12">
            <v>8</v>
          </cell>
          <cell r="V12">
            <v>9</v>
          </cell>
          <cell r="W12">
            <v>14</v>
          </cell>
          <cell r="X12">
            <v>14</v>
          </cell>
          <cell r="Y12">
            <v>23</v>
          </cell>
          <cell r="Z12">
            <v>18</v>
          </cell>
          <cell r="AA12">
            <v>15</v>
          </cell>
          <cell r="AB12">
            <v>11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1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2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2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</v>
          </cell>
        </row>
        <row r="40">
          <cell r="C40"/>
          <cell r="D40"/>
          <cell r="E40"/>
        </row>
        <row r="41">
          <cell r="C41">
            <v>5</v>
          </cell>
          <cell r="D41">
            <v>3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10</v>
          </cell>
        </row>
      </sheetData>
      <sheetData sheetId="27"/>
      <sheetData sheetId="2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107</v>
          </cell>
        </row>
        <row r="44">
          <cell r="C44">
            <v>426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52</v>
          </cell>
        </row>
        <row r="57">
          <cell r="C57">
            <v>9</v>
          </cell>
        </row>
        <row r="63">
          <cell r="C63">
            <v>1</v>
          </cell>
        </row>
        <row r="74">
          <cell r="C74">
            <v>7</v>
          </cell>
          <cell r="F74">
            <v>89</v>
          </cell>
        </row>
      </sheetData>
      <sheetData sheetId="2">
        <row r="21">
          <cell r="G21">
            <v>4</v>
          </cell>
          <cell r="H21">
            <v>10</v>
          </cell>
          <cell r="I21">
            <v>4</v>
          </cell>
          <cell r="J21">
            <v>9</v>
          </cell>
          <cell r="K21">
            <v>1</v>
          </cell>
          <cell r="L21">
            <v>13</v>
          </cell>
          <cell r="M21">
            <v>1</v>
          </cell>
          <cell r="N21">
            <v>10</v>
          </cell>
          <cell r="O21">
            <v>4</v>
          </cell>
          <cell r="P21">
            <v>9</v>
          </cell>
          <cell r="Q21">
            <v>0</v>
          </cell>
          <cell r="R21">
            <v>5</v>
          </cell>
          <cell r="S21">
            <v>3</v>
          </cell>
          <cell r="T21">
            <v>4</v>
          </cell>
          <cell r="U21">
            <v>1</v>
          </cell>
          <cell r="V21">
            <v>8</v>
          </cell>
          <cell r="W21">
            <v>1</v>
          </cell>
          <cell r="X21">
            <v>2</v>
          </cell>
          <cell r="Y21">
            <v>5</v>
          </cell>
          <cell r="Z21">
            <v>15</v>
          </cell>
          <cell r="AA21">
            <v>9</v>
          </cell>
          <cell r="AB21">
            <v>29</v>
          </cell>
          <cell r="AC21">
            <v>18</v>
          </cell>
          <cell r="AD21">
            <v>18</v>
          </cell>
          <cell r="AE21">
            <v>5</v>
          </cell>
          <cell r="AF21">
            <v>16</v>
          </cell>
        </row>
      </sheetData>
      <sheetData sheetId="3">
        <row r="21">
          <cell r="J21">
            <v>1</v>
          </cell>
          <cell r="K21"/>
          <cell r="L21">
            <v>18</v>
          </cell>
          <cell r="M21">
            <v>15</v>
          </cell>
        </row>
        <row r="22">
          <cell r="J22"/>
          <cell r="K22"/>
          <cell r="L22">
            <v>1</v>
          </cell>
          <cell r="M22"/>
        </row>
        <row r="23">
          <cell r="J23">
            <v>1</v>
          </cell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1041</v>
          </cell>
        </row>
        <row r="24">
          <cell r="B24">
            <v>100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>
            <v>1</v>
          </cell>
          <cell r="I114"/>
          <cell r="J114"/>
          <cell r="K114"/>
          <cell r="L114">
            <v>2</v>
          </cell>
          <cell r="M114">
            <v>1</v>
          </cell>
          <cell r="N114">
            <v>1</v>
          </cell>
          <cell r="O114">
            <v>1</v>
          </cell>
          <cell r="P114"/>
          <cell r="Q114"/>
          <cell r="R114">
            <v>1</v>
          </cell>
          <cell r="S114">
            <v>2</v>
          </cell>
          <cell r="T114">
            <v>1</v>
          </cell>
          <cell r="U114">
            <v>5</v>
          </cell>
          <cell r="V114">
            <v>2</v>
          </cell>
          <cell r="W114">
            <v>3</v>
          </cell>
          <cell r="X114">
            <v>4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117</v>
          </cell>
        </row>
        <row r="234">
          <cell r="C234">
            <v>11</v>
          </cell>
        </row>
        <row r="241">
          <cell r="AN241">
            <v>6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74</v>
          </cell>
        </row>
        <row r="22">
          <cell r="C22">
            <v>489</v>
          </cell>
        </row>
        <row r="23">
          <cell r="C23">
            <v>11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</v>
          </cell>
          <cell r="AF136">
            <v>15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3</v>
          </cell>
          <cell r="K12">
            <v>0</v>
          </cell>
          <cell r="L12">
            <v>1</v>
          </cell>
          <cell r="M12">
            <v>1</v>
          </cell>
          <cell r="N12">
            <v>3</v>
          </cell>
          <cell r="O12">
            <v>3</v>
          </cell>
          <cell r="P12">
            <v>2</v>
          </cell>
          <cell r="Q12">
            <v>3</v>
          </cell>
          <cell r="R12">
            <v>2</v>
          </cell>
          <cell r="S12">
            <v>3</v>
          </cell>
          <cell r="T12">
            <v>7</v>
          </cell>
          <cell r="U12">
            <v>5</v>
          </cell>
          <cell r="V12">
            <v>6</v>
          </cell>
          <cell r="W12">
            <v>32</v>
          </cell>
          <cell r="X12">
            <v>29</v>
          </cell>
          <cell r="Y12">
            <v>31</v>
          </cell>
          <cell r="Z12">
            <v>28</v>
          </cell>
          <cell r="AA12">
            <v>7</v>
          </cell>
          <cell r="AB12">
            <v>19</v>
          </cell>
        </row>
        <row r="48">
          <cell r="G48">
            <v>4</v>
          </cell>
          <cell r="H48">
            <v>5</v>
          </cell>
          <cell r="I48">
            <v>5</v>
          </cell>
          <cell r="J48">
            <v>3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28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3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14</v>
          </cell>
          <cell r="D41">
            <v>8</v>
          </cell>
          <cell r="E41">
            <v>30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</v>
          </cell>
        </row>
        <row r="44">
          <cell r="C44">
            <v>470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4</v>
          </cell>
        </row>
        <row r="57">
          <cell r="C57">
            <v>97</v>
          </cell>
        </row>
        <row r="63">
          <cell r="C63">
            <v>4</v>
          </cell>
        </row>
        <row r="74">
          <cell r="C74">
            <v>15</v>
          </cell>
          <cell r="F74">
            <v>14</v>
          </cell>
        </row>
      </sheetData>
      <sheetData sheetId="2">
        <row r="21">
          <cell r="G21">
            <v>6</v>
          </cell>
          <cell r="H21">
            <v>28</v>
          </cell>
          <cell r="I21">
            <v>6</v>
          </cell>
          <cell r="J21">
            <v>15</v>
          </cell>
          <cell r="K21">
            <v>6</v>
          </cell>
          <cell r="L21">
            <v>12</v>
          </cell>
          <cell r="M21">
            <v>7</v>
          </cell>
          <cell r="N21">
            <v>8</v>
          </cell>
          <cell r="O21">
            <v>4</v>
          </cell>
          <cell r="P21">
            <v>15</v>
          </cell>
          <cell r="Q21">
            <v>6</v>
          </cell>
          <cell r="R21">
            <v>13</v>
          </cell>
          <cell r="S21">
            <v>10</v>
          </cell>
          <cell r="T21">
            <v>10</v>
          </cell>
          <cell r="U21">
            <v>7</v>
          </cell>
          <cell r="V21">
            <v>13</v>
          </cell>
          <cell r="W21">
            <v>6</v>
          </cell>
          <cell r="X21">
            <v>11</v>
          </cell>
          <cell r="Y21">
            <v>16</v>
          </cell>
          <cell r="Z21">
            <v>16</v>
          </cell>
          <cell r="AA21">
            <v>14</v>
          </cell>
          <cell r="AB21">
            <v>16</v>
          </cell>
          <cell r="AC21">
            <v>10</v>
          </cell>
          <cell r="AD21">
            <v>22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1773</v>
          </cell>
        </row>
        <row r="24">
          <cell r="B24">
            <v>13</v>
          </cell>
        </row>
      </sheetData>
      <sheetData sheetId="5">
        <row r="11">
          <cell r="C11">
            <v>24</v>
          </cell>
        </row>
        <row r="13">
          <cell r="C13">
            <v>19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2</v>
          </cell>
          <cell r="O114">
            <v>2</v>
          </cell>
          <cell r="P114">
            <v>3</v>
          </cell>
          <cell r="Q114">
            <v>1</v>
          </cell>
          <cell r="R114">
            <v>1</v>
          </cell>
          <cell r="S114">
            <v>4</v>
          </cell>
          <cell r="T114">
            <v>3</v>
          </cell>
          <cell r="U114">
            <v>2</v>
          </cell>
          <cell r="V114">
            <v>2</v>
          </cell>
          <cell r="W114">
            <v>0</v>
          </cell>
          <cell r="X114">
            <v>2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1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32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120</v>
          </cell>
        </row>
        <row r="22">
          <cell r="C22">
            <v>367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21</v>
          </cell>
        </row>
        <row r="121">
          <cell r="AE121"/>
          <cell r="AF121"/>
        </row>
        <row r="122">
          <cell r="AF122">
            <v>20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37</v>
          </cell>
          <cell r="AF136">
            <v>183</v>
          </cell>
        </row>
      </sheetData>
      <sheetData sheetId="8"/>
      <sheetData sheetId="9">
        <row r="12">
          <cell r="G12">
            <v>3</v>
          </cell>
          <cell r="H12">
            <v>5</v>
          </cell>
          <cell r="I12">
            <v>5</v>
          </cell>
          <cell r="J12">
            <v>2</v>
          </cell>
          <cell r="K12">
            <v>3</v>
          </cell>
          <cell r="L12">
            <v>4</v>
          </cell>
          <cell r="M12">
            <v>6</v>
          </cell>
          <cell r="N12">
            <v>2</v>
          </cell>
          <cell r="O12">
            <v>13</v>
          </cell>
          <cell r="P12">
            <v>9</v>
          </cell>
          <cell r="Q12">
            <v>15</v>
          </cell>
          <cell r="R12">
            <v>14</v>
          </cell>
          <cell r="S12">
            <v>24</v>
          </cell>
          <cell r="T12">
            <v>15</v>
          </cell>
          <cell r="U12">
            <v>16</v>
          </cell>
          <cell r="V12">
            <v>22</v>
          </cell>
          <cell r="W12">
            <v>70</v>
          </cell>
          <cell r="X12">
            <v>40</v>
          </cell>
          <cell r="Y12">
            <v>104</v>
          </cell>
          <cell r="Z12">
            <v>89</v>
          </cell>
          <cell r="AA12">
            <v>39</v>
          </cell>
          <cell r="AB12">
            <v>33</v>
          </cell>
        </row>
        <row r="48">
          <cell r="G48">
            <v>7</v>
          </cell>
          <cell r="H48">
            <v>10</v>
          </cell>
          <cell r="I48">
            <v>9</v>
          </cell>
          <cell r="J48">
            <v>6</v>
          </cell>
          <cell r="K48">
            <v>4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0</v>
          </cell>
        </row>
        <row r="14">
          <cell r="C14">
            <v>2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5</v>
          </cell>
          <cell r="D38">
            <v>0</v>
          </cell>
          <cell r="E38"/>
        </row>
        <row r="40">
          <cell r="C40"/>
          <cell r="D40"/>
          <cell r="E40"/>
        </row>
        <row r="41">
          <cell r="C41">
            <v>10</v>
          </cell>
          <cell r="D41">
            <v>0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196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55</v>
          </cell>
        </row>
        <row r="63">
          <cell r="C63">
            <v>0</v>
          </cell>
        </row>
        <row r="74">
          <cell r="C74">
            <v>14</v>
          </cell>
          <cell r="F74">
            <v>12</v>
          </cell>
        </row>
      </sheetData>
      <sheetData sheetId="2">
        <row r="21">
          <cell r="G21">
            <v>0</v>
          </cell>
          <cell r="H21">
            <v>10</v>
          </cell>
          <cell r="I21">
            <v>4</v>
          </cell>
          <cell r="J21">
            <v>4</v>
          </cell>
          <cell r="K21">
            <v>5</v>
          </cell>
          <cell r="L21">
            <v>11</v>
          </cell>
          <cell r="M21">
            <v>4</v>
          </cell>
          <cell r="N21">
            <v>8</v>
          </cell>
          <cell r="O21">
            <v>2</v>
          </cell>
          <cell r="P21">
            <v>7</v>
          </cell>
          <cell r="Q21">
            <v>1</v>
          </cell>
          <cell r="R21">
            <v>7</v>
          </cell>
          <cell r="S21">
            <v>4</v>
          </cell>
          <cell r="T21">
            <v>10</v>
          </cell>
          <cell r="U21">
            <v>3</v>
          </cell>
          <cell r="V21">
            <v>4</v>
          </cell>
          <cell r="W21">
            <v>5</v>
          </cell>
          <cell r="X21">
            <v>6</v>
          </cell>
          <cell r="Y21">
            <v>3</v>
          </cell>
          <cell r="Z21">
            <v>6</v>
          </cell>
          <cell r="AA21">
            <v>8</v>
          </cell>
          <cell r="AB21">
            <v>5</v>
          </cell>
          <cell r="AC21">
            <v>4</v>
          </cell>
          <cell r="AD21">
            <v>14</v>
          </cell>
          <cell r="AE21">
            <v>4</v>
          </cell>
          <cell r="AF21">
            <v>8</v>
          </cell>
        </row>
      </sheetData>
      <sheetData sheetId="3">
        <row r="21">
          <cell r="J21">
            <v>1</v>
          </cell>
          <cell r="K21">
            <v>1</v>
          </cell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421</v>
          </cell>
        </row>
        <row r="24">
          <cell r="B24">
            <v>11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>
            <v>1</v>
          </cell>
          <cell r="I114"/>
          <cell r="J114">
            <v>0</v>
          </cell>
          <cell r="K114">
            <v>2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1</v>
          </cell>
          <cell r="Q114">
            <v>3</v>
          </cell>
          <cell r="R114">
            <v>0</v>
          </cell>
          <cell r="S114">
            <v>4</v>
          </cell>
          <cell r="T114">
            <v>1</v>
          </cell>
          <cell r="U114">
            <v>1</v>
          </cell>
          <cell r="V114">
            <v>1</v>
          </cell>
          <cell r="W114">
            <v>1</v>
          </cell>
          <cell r="X114">
            <v>4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1</v>
          </cell>
          <cell r="S127">
            <v>0</v>
          </cell>
          <cell r="T127">
            <v>1</v>
          </cell>
          <cell r="U127">
            <v>2</v>
          </cell>
          <cell r="V127">
            <v>0</v>
          </cell>
          <cell r="W127">
            <v>3</v>
          </cell>
          <cell r="X127">
            <v>0</v>
          </cell>
          <cell r="Y127">
            <v>2</v>
          </cell>
        </row>
        <row r="186">
          <cell r="C186">
            <v>30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78</v>
          </cell>
        </row>
        <row r="22">
          <cell r="C22">
            <v>366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10</v>
          </cell>
        </row>
        <row r="121">
          <cell r="AE121"/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36</v>
          </cell>
          <cell r="AF136">
            <v>155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1</v>
          </cell>
          <cell r="L12">
            <v>3</v>
          </cell>
          <cell r="M12">
            <v>3</v>
          </cell>
          <cell r="N12">
            <v>6</v>
          </cell>
          <cell r="O12">
            <v>5</v>
          </cell>
          <cell r="P12">
            <v>5</v>
          </cell>
          <cell r="Q12">
            <v>4</v>
          </cell>
          <cell r="R12">
            <v>5</v>
          </cell>
          <cell r="S12">
            <v>14</v>
          </cell>
          <cell r="T12">
            <v>15</v>
          </cell>
          <cell r="U12">
            <v>14</v>
          </cell>
          <cell r="V12">
            <v>4</v>
          </cell>
          <cell r="W12">
            <v>34</v>
          </cell>
          <cell r="X12">
            <v>32</v>
          </cell>
          <cell r="Y12">
            <v>43</v>
          </cell>
          <cell r="Z12">
            <v>38</v>
          </cell>
          <cell r="AA12">
            <v>21</v>
          </cell>
          <cell r="AB12">
            <v>31</v>
          </cell>
        </row>
        <row r="48">
          <cell r="G48">
            <v>8</v>
          </cell>
          <cell r="H48">
            <v>4</v>
          </cell>
          <cell r="I48">
            <v>6</v>
          </cell>
          <cell r="J48">
            <v>7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5</v>
          </cell>
          <cell r="D40"/>
          <cell r="E40"/>
        </row>
        <row r="41">
          <cell r="C41">
            <v>33</v>
          </cell>
          <cell r="D41">
            <v>1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3</v>
          </cell>
        </row>
        <row r="128">
          <cell r="B128">
            <v>1</v>
          </cell>
        </row>
        <row r="129">
          <cell r="B129">
            <v>8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</v>
          </cell>
        </row>
      </sheetData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29</v>
          </cell>
        </row>
        <row r="44">
          <cell r="C44">
            <v>447</v>
          </cell>
        </row>
        <row r="48">
          <cell r="C48">
            <v>0</v>
          </cell>
        </row>
        <row r="51">
          <cell r="C51">
            <v>2</v>
          </cell>
        </row>
        <row r="54">
          <cell r="C54">
            <v>0</v>
          </cell>
        </row>
        <row r="57">
          <cell r="C57">
            <v>169</v>
          </cell>
        </row>
        <row r="63">
          <cell r="C63">
            <v>0</v>
          </cell>
        </row>
        <row r="74">
          <cell r="C74">
            <v>12</v>
          </cell>
          <cell r="F74">
            <v>17</v>
          </cell>
        </row>
      </sheetData>
      <sheetData sheetId="2">
        <row r="21">
          <cell r="G21">
            <v>3</v>
          </cell>
          <cell r="H21">
            <v>2</v>
          </cell>
          <cell r="I21">
            <v>1</v>
          </cell>
          <cell r="J21">
            <v>3</v>
          </cell>
          <cell r="K21">
            <v>2</v>
          </cell>
          <cell r="L21">
            <v>2</v>
          </cell>
          <cell r="M21">
            <v>0</v>
          </cell>
          <cell r="N21">
            <v>2</v>
          </cell>
          <cell r="O21">
            <v>4</v>
          </cell>
          <cell r="P21">
            <v>3</v>
          </cell>
          <cell r="Q21">
            <v>1</v>
          </cell>
          <cell r="R21">
            <v>2</v>
          </cell>
          <cell r="S21">
            <v>1</v>
          </cell>
          <cell r="T21">
            <v>5</v>
          </cell>
          <cell r="U21">
            <v>2</v>
          </cell>
          <cell r="V21">
            <v>3</v>
          </cell>
          <cell r="W21">
            <v>1</v>
          </cell>
          <cell r="X21">
            <v>4</v>
          </cell>
          <cell r="Y21">
            <v>13</v>
          </cell>
          <cell r="Z21">
            <v>15</v>
          </cell>
          <cell r="AA21">
            <v>5</v>
          </cell>
          <cell r="AB21">
            <v>19</v>
          </cell>
          <cell r="AC21">
            <v>9</v>
          </cell>
          <cell r="AD21">
            <v>15</v>
          </cell>
          <cell r="AE21">
            <v>19</v>
          </cell>
          <cell r="AF21">
            <v>34</v>
          </cell>
        </row>
      </sheetData>
      <sheetData sheetId="3">
        <row r="21">
          <cell r="J21"/>
          <cell r="K21">
            <v>1</v>
          </cell>
          <cell r="L21">
            <v>4</v>
          </cell>
          <cell r="M21">
            <v>7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3</v>
          </cell>
          <cell r="M23"/>
        </row>
        <row r="24">
          <cell r="J24"/>
          <cell r="K24">
            <v>1</v>
          </cell>
          <cell r="L24">
            <v>1</v>
          </cell>
          <cell r="M24"/>
        </row>
      </sheetData>
      <sheetData sheetId="4">
        <row r="12">
          <cell r="B12">
            <v>1394</v>
          </cell>
        </row>
        <row r="24">
          <cell r="B24">
            <v>41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2</v>
          </cell>
          <cell r="I114">
            <v>0</v>
          </cell>
          <cell r="J114">
            <v>2</v>
          </cell>
          <cell r="K114">
            <v>3</v>
          </cell>
          <cell r="L114">
            <v>0</v>
          </cell>
          <cell r="M114">
            <v>1</v>
          </cell>
          <cell r="N114">
            <v>0</v>
          </cell>
          <cell r="O114">
            <v>2</v>
          </cell>
          <cell r="P114">
            <v>4</v>
          </cell>
          <cell r="Q114">
            <v>3</v>
          </cell>
          <cell r="R114">
            <v>1</v>
          </cell>
          <cell r="S114">
            <v>4</v>
          </cell>
          <cell r="T114">
            <v>0</v>
          </cell>
          <cell r="U114">
            <v>4</v>
          </cell>
          <cell r="V114">
            <v>3</v>
          </cell>
          <cell r="W114">
            <v>4</v>
          </cell>
          <cell r="X114">
            <v>6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73</v>
          </cell>
        </row>
        <row r="234">
          <cell r="C234">
            <v>49</v>
          </cell>
        </row>
        <row r="241">
          <cell r="AN241">
            <v>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234</v>
          </cell>
        </row>
        <row r="22">
          <cell r="C22">
            <v>947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1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60</v>
          </cell>
        </row>
      </sheetData>
      <sheetData sheetId="8"/>
      <sheetData sheetId="9">
        <row r="12">
          <cell r="G12"/>
          <cell r="H12"/>
          <cell r="I12">
            <v>2</v>
          </cell>
          <cell r="J12"/>
          <cell r="K12"/>
          <cell r="L12">
            <v>1</v>
          </cell>
          <cell r="M12">
            <v>5</v>
          </cell>
          <cell r="N12">
            <v>2</v>
          </cell>
          <cell r="O12">
            <v>3</v>
          </cell>
          <cell r="P12">
            <v>5</v>
          </cell>
          <cell r="Q12">
            <v>8</v>
          </cell>
          <cell r="R12">
            <v>6</v>
          </cell>
          <cell r="S12">
            <v>10</v>
          </cell>
          <cell r="T12">
            <v>5</v>
          </cell>
          <cell r="U12">
            <v>5</v>
          </cell>
          <cell r="V12">
            <v>7</v>
          </cell>
          <cell r="W12">
            <v>20</v>
          </cell>
          <cell r="X12">
            <v>11</v>
          </cell>
          <cell r="Y12">
            <v>23</v>
          </cell>
          <cell r="Z12">
            <v>28</v>
          </cell>
          <cell r="AA12">
            <v>14</v>
          </cell>
          <cell r="AB12">
            <v>13</v>
          </cell>
        </row>
        <row r="48">
          <cell r="G48">
            <v>4</v>
          </cell>
          <cell r="H48">
            <v>6</v>
          </cell>
          <cell r="I48">
            <v>4</v>
          </cell>
          <cell r="J48">
            <v>5</v>
          </cell>
          <cell r="K48">
            <v>5</v>
          </cell>
          <cell r="L48">
            <v>3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8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17</v>
          </cell>
        </row>
      </sheetData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214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51</v>
          </cell>
        </row>
        <row r="63">
          <cell r="C63">
            <v>0</v>
          </cell>
        </row>
        <row r="74">
          <cell r="C74">
            <v>9</v>
          </cell>
          <cell r="F74">
            <v>6</v>
          </cell>
        </row>
      </sheetData>
      <sheetData sheetId="2">
        <row r="21">
          <cell r="G21">
            <v>2</v>
          </cell>
          <cell r="H21">
            <v>7</v>
          </cell>
          <cell r="I21">
            <v>0</v>
          </cell>
          <cell r="J21">
            <v>9</v>
          </cell>
          <cell r="K21">
            <v>1</v>
          </cell>
          <cell r="L21">
            <v>5</v>
          </cell>
          <cell r="M21">
            <v>1</v>
          </cell>
          <cell r="N21">
            <v>11</v>
          </cell>
          <cell r="O21">
            <v>1</v>
          </cell>
          <cell r="P21">
            <v>2</v>
          </cell>
          <cell r="Q21">
            <v>0</v>
          </cell>
          <cell r="R21">
            <v>1</v>
          </cell>
          <cell r="S21">
            <v>0</v>
          </cell>
          <cell r="T21">
            <v>2</v>
          </cell>
          <cell r="U21">
            <v>0</v>
          </cell>
          <cell r="V21">
            <v>1</v>
          </cell>
          <cell r="W21">
            <v>1</v>
          </cell>
          <cell r="X21">
            <v>3</v>
          </cell>
          <cell r="Y21">
            <v>5</v>
          </cell>
          <cell r="Z21">
            <v>15</v>
          </cell>
          <cell r="AA21">
            <v>7</v>
          </cell>
          <cell r="AB21">
            <v>10</v>
          </cell>
          <cell r="AC21">
            <v>11</v>
          </cell>
          <cell r="AD21">
            <v>13</v>
          </cell>
          <cell r="AE21">
            <v>6</v>
          </cell>
          <cell r="AF21">
            <v>15</v>
          </cell>
        </row>
      </sheetData>
      <sheetData sheetId="3">
        <row r="21">
          <cell r="J21"/>
          <cell r="K21"/>
          <cell r="L21">
            <v>7</v>
          </cell>
          <cell r="M21">
            <v>9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2</v>
          </cell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988</v>
          </cell>
        </row>
        <row r="24">
          <cell r="B24">
            <v>19</v>
          </cell>
        </row>
      </sheetData>
      <sheetData sheetId="5">
        <row r="11">
          <cell r="C11">
            <v>14</v>
          </cell>
        </row>
        <row r="13">
          <cell r="C13">
            <v>11</v>
          </cell>
        </row>
        <row r="114">
          <cell r="H114">
            <v>1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1</v>
          </cell>
          <cell r="U114">
            <v>0</v>
          </cell>
          <cell r="V114">
            <v>3</v>
          </cell>
          <cell r="W114">
            <v>0</v>
          </cell>
          <cell r="X114">
            <v>3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69</v>
          </cell>
        </row>
        <row r="234">
          <cell r="C234">
            <v>7</v>
          </cell>
        </row>
        <row r="241">
          <cell r="AN241">
            <v>12</v>
          </cell>
          <cell r="AO241">
            <v>0</v>
          </cell>
          <cell r="AP241">
            <v>2</v>
          </cell>
        </row>
      </sheetData>
      <sheetData sheetId="6">
        <row r="12">
          <cell r="C12">
            <v>83</v>
          </cell>
        </row>
        <row r="22">
          <cell r="C22">
            <v>518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/>
          <cell r="AF120">
            <v>16</v>
          </cell>
        </row>
        <row r="121">
          <cell r="AE121"/>
          <cell r="AF121"/>
        </row>
        <row r="122">
          <cell r="AF122">
            <v>19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141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3</v>
          </cell>
          <cell r="J12">
            <v>2</v>
          </cell>
          <cell r="K12">
            <v>1</v>
          </cell>
          <cell r="L12">
            <v>1</v>
          </cell>
          <cell r="M12">
            <v>5</v>
          </cell>
          <cell r="N12">
            <v>1</v>
          </cell>
          <cell r="O12">
            <v>7</v>
          </cell>
          <cell r="P12">
            <v>4</v>
          </cell>
          <cell r="Q12">
            <v>7</v>
          </cell>
          <cell r="R12">
            <v>8</v>
          </cell>
          <cell r="S12">
            <v>16</v>
          </cell>
          <cell r="T12">
            <v>6</v>
          </cell>
          <cell r="U12">
            <v>15</v>
          </cell>
          <cell r="V12">
            <v>16</v>
          </cell>
          <cell r="W12">
            <v>32</v>
          </cell>
          <cell r="X12">
            <v>20</v>
          </cell>
          <cell r="Y12">
            <v>39</v>
          </cell>
          <cell r="Z12">
            <v>45</v>
          </cell>
          <cell r="AA12">
            <v>22</v>
          </cell>
          <cell r="AB12">
            <v>19</v>
          </cell>
        </row>
        <row r="48">
          <cell r="G48">
            <v>4</v>
          </cell>
          <cell r="H48">
            <v>5</v>
          </cell>
          <cell r="I48">
            <v>7</v>
          </cell>
          <cell r="J48">
            <v>6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>
            <v>0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3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8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2</v>
          </cell>
          <cell r="D38"/>
          <cell r="E38"/>
        </row>
        <row r="40">
          <cell r="C40"/>
          <cell r="D40"/>
          <cell r="E40"/>
        </row>
        <row r="41">
          <cell r="C41">
            <v>6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5</v>
          </cell>
        </row>
        <row r="134">
          <cell r="C134">
            <v>0</v>
          </cell>
        </row>
        <row r="144">
          <cell r="C144">
            <v>2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8</v>
          </cell>
        </row>
      </sheetData>
      <sheetData sheetId="27"/>
      <sheetData sheetId="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333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116</v>
          </cell>
        </row>
        <row r="63">
          <cell r="C63">
            <v>4</v>
          </cell>
        </row>
        <row r="74">
          <cell r="C74">
            <v>35</v>
          </cell>
          <cell r="F74">
            <v>7</v>
          </cell>
        </row>
      </sheetData>
      <sheetData sheetId="2">
        <row r="21">
          <cell r="G21">
            <v>0</v>
          </cell>
          <cell r="H21">
            <v>3</v>
          </cell>
          <cell r="I21">
            <v>1</v>
          </cell>
          <cell r="J21">
            <v>5</v>
          </cell>
          <cell r="K21">
            <v>1</v>
          </cell>
          <cell r="L21">
            <v>3</v>
          </cell>
          <cell r="M21">
            <v>3</v>
          </cell>
          <cell r="N21">
            <v>5</v>
          </cell>
          <cell r="O21">
            <v>3</v>
          </cell>
          <cell r="P21">
            <v>7</v>
          </cell>
          <cell r="Q21">
            <v>2</v>
          </cell>
          <cell r="R21">
            <v>6</v>
          </cell>
          <cell r="S21">
            <v>1</v>
          </cell>
          <cell r="T21">
            <v>4</v>
          </cell>
          <cell r="U21">
            <v>0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16</v>
          </cell>
          <cell r="AA21">
            <v>10</v>
          </cell>
          <cell r="AB21">
            <v>20</v>
          </cell>
          <cell r="AC21">
            <v>8</v>
          </cell>
          <cell r="AD21">
            <v>9</v>
          </cell>
          <cell r="AE21">
            <v>8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8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3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885</v>
          </cell>
        </row>
        <row r="24">
          <cell r="B24">
            <v>55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1</v>
          </cell>
          <cell r="O114">
            <v>1</v>
          </cell>
          <cell r="P114">
            <v>3</v>
          </cell>
          <cell r="Q114">
            <v>1</v>
          </cell>
          <cell r="R114">
            <v>0</v>
          </cell>
          <cell r="S114">
            <v>1</v>
          </cell>
          <cell r="T114">
            <v>2</v>
          </cell>
          <cell r="U114">
            <v>2</v>
          </cell>
          <cell r="V114">
            <v>0</v>
          </cell>
          <cell r="W114">
            <v>2</v>
          </cell>
          <cell r="X114">
            <v>2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0</v>
          </cell>
        </row>
        <row r="186">
          <cell r="C186">
            <v>45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90</v>
          </cell>
        </row>
        <row r="22">
          <cell r="C22">
            <v>483</v>
          </cell>
        </row>
        <row r="23">
          <cell r="C23">
            <v>3</v>
          </cell>
        </row>
        <row r="32">
          <cell r="E32">
            <v>5</v>
          </cell>
        </row>
      </sheetData>
      <sheetData sheetId="7">
        <row r="120">
          <cell r="AE120"/>
          <cell r="AF120">
            <v>14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150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3</v>
          </cell>
          <cell r="J12">
            <v>2</v>
          </cell>
          <cell r="K12">
            <v>2</v>
          </cell>
          <cell r="L12">
            <v>1</v>
          </cell>
          <cell r="M12">
            <v>6</v>
          </cell>
          <cell r="N12">
            <v>2</v>
          </cell>
          <cell r="O12">
            <v>4</v>
          </cell>
          <cell r="P12">
            <v>5</v>
          </cell>
          <cell r="Q12">
            <v>8</v>
          </cell>
          <cell r="R12">
            <v>6</v>
          </cell>
          <cell r="S12">
            <v>14</v>
          </cell>
          <cell r="T12">
            <v>10</v>
          </cell>
          <cell r="U12">
            <v>13</v>
          </cell>
          <cell r="V12">
            <v>17</v>
          </cell>
          <cell r="W12">
            <v>28</v>
          </cell>
          <cell r="X12">
            <v>12</v>
          </cell>
          <cell r="Y12">
            <v>23</v>
          </cell>
          <cell r="Z12">
            <v>38</v>
          </cell>
          <cell r="AA12">
            <v>14</v>
          </cell>
          <cell r="AB12">
            <v>35</v>
          </cell>
        </row>
        <row r="48">
          <cell r="G48">
            <v>6</v>
          </cell>
          <cell r="H48">
            <v>4</v>
          </cell>
          <cell r="I48">
            <v>2</v>
          </cell>
          <cell r="J48">
            <v>5</v>
          </cell>
          <cell r="K48">
            <v>4</v>
          </cell>
          <cell r="L48">
            <v>4</v>
          </cell>
        </row>
      </sheetData>
      <sheetData sheetId="10"/>
      <sheetData sheetId="11"/>
      <sheetData sheetId="12">
        <row r="97">
          <cell r="C97">
            <v>0</v>
          </cell>
        </row>
        <row r="99">
          <cell r="C99">
            <v>1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17</v>
          </cell>
        </row>
      </sheetData>
      <sheetData sheetId="16"/>
      <sheetData sheetId="17"/>
      <sheetData sheetId="18">
        <row r="10">
          <cell r="C10">
            <v>3</v>
          </cell>
        </row>
        <row r="11">
          <cell r="C11">
            <v>2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3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2</v>
          </cell>
        </row>
        <row r="33">
          <cell r="C33">
            <v>8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4</v>
          </cell>
          <cell r="D40"/>
          <cell r="E40">
            <v>1</v>
          </cell>
        </row>
        <row r="41">
          <cell r="C41">
            <v>11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15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108</v>
          </cell>
        </row>
        <row r="44">
          <cell r="C44">
            <v>432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88</v>
          </cell>
        </row>
        <row r="63">
          <cell r="C63">
            <v>3</v>
          </cell>
        </row>
        <row r="74">
          <cell r="C74">
            <v>36</v>
          </cell>
          <cell r="F74">
            <v>20</v>
          </cell>
        </row>
      </sheetData>
      <sheetData sheetId="2">
        <row r="21">
          <cell r="G21">
            <v>1</v>
          </cell>
          <cell r="H21">
            <v>3</v>
          </cell>
          <cell r="I21">
            <v>1</v>
          </cell>
          <cell r="J21">
            <v>5</v>
          </cell>
          <cell r="K21">
            <v>0</v>
          </cell>
          <cell r="L21">
            <v>7</v>
          </cell>
          <cell r="M21">
            <v>2</v>
          </cell>
          <cell r="N21">
            <v>3</v>
          </cell>
          <cell r="O21">
            <v>1</v>
          </cell>
          <cell r="P21">
            <v>1</v>
          </cell>
          <cell r="Q21">
            <v>1</v>
          </cell>
          <cell r="R21">
            <v>4</v>
          </cell>
          <cell r="S21">
            <v>1</v>
          </cell>
          <cell r="T21">
            <v>3</v>
          </cell>
          <cell r="U21">
            <v>1</v>
          </cell>
          <cell r="V21">
            <v>6</v>
          </cell>
          <cell r="W21">
            <v>1</v>
          </cell>
          <cell r="X21">
            <v>2</v>
          </cell>
          <cell r="Y21">
            <v>8</v>
          </cell>
          <cell r="Z21">
            <v>13</v>
          </cell>
          <cell r="AA21">
            <v>6</v>
          </cell>
          <cell r="AB21">
            <v>21</v>
          </cell>
          <cell r="AC21">
            <v>8</v>
          </cell>
          <cell r="AD21">
            <v>15</v>
          </cell>
          <cell r="AE21">
            <v>10</v>
          </cell>
          <cell r="AF21">
            <v>15</v>
          </cell>
        </row>
      </sheetData>
      <sheetData sheetId="3">
        <row r="21">
          <cell r="J21">
            <v>2</v>
          </cell>
          <cell r="K21">
            <v>1</v>
          </cell>
          <cell r="L21">
            <v>2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869</v>
          </cell>
        </row>
        <row r="24">
          <cell r="B24">
            <v>27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2</v>
          </cell>
          <cell r="P114">
            <v>2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1</v>
          </cell>
          <cell r="V114">
            <v>1</v>
          </cell>
          <cell r="W114">
            <v>1</v>
          </cell>
          <cell r="X114">
            <v>1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16</v>
          </cell>
        </row>
        <row r="234">
          <cell r="C234">
            <v>5</v>
          </cell>
        </row>
        <row r="241">
          <cell r="AN241">
            <v>4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92</v>
          </cell>
        </row>
        <row r="22">
          <cell r="C22">
            <v>410</v>
          </cell>
        </row>
        <row r="23">
          <cell r="C23">
            <v>15</v>
          </cell>
        </row>
        <row r="32">
          <cell r="E32">
            <v>2</v>
          </cell>
        </row>
      </sheetData>
      <sheetData sheetId="7">
        <row r="120">
          <cell r="AE120"/>
          <cell r="AF120">
            <v>12</v>
          </cell>
        </row>
        <row r="121">
          <cell r="AE121"/>
          <cell r="AF121"/>
        </row>
        <row r="122">
          <cell r="AF122">
            <v>8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21</v>
          </cell>
          <cell r="AF136">
            <v>106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>
            <v>4</v>
          </cell>
          <cell r="O12">
            <v>11</v>
          </cell>
          <cell r="P12">
            <v>7</v>
          </cell>
          <cell r="Q12">
            <v>8</v>
          </cell>
          <cell r="R12">
            <v>11</v>
          </cell>
          <cell r="S12">
            <v>18</v>
          </cell>
          <cell r="T12">
            <v>12</v>
          </cell>
          <cell r="U12">
            <v>10</v>
          </cell>
          <cell r="V12">
            <v>11</v>
          </cell>
          <cell r="W12">
            <v>34</v>
          </cell>
          <cell r="X12">
            <v>30</v>
          </cell>
          <cell r="Y12">
            <v>44</v>
          </cell>
          <cell r="Z12">
            <v>48</v>
          </cell>
          <cell r="AA12">
            <v>5</v>
          </cell>
          <cell r="AB12">
            <v>26</v>
          </cell>
        </row>
        <row r="48">
          <cell r="G48">
            <v>2</v>
          </cell>
          <cell r="H48">
            <v>4</v>
          </cell>
          <cell r="I48">
            <v>4</v>
          </cell>
          <cell r="J48">
            <v>7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14</v>
          </cell>
        </row>
      </sheetData>
      <sheetData sheetId="16"/>
      <sheetData sheetId="17"/>
      <sheetData sheetId="18">
        <row r="10">
          <cell r="C10">
            <v>3</v>
          </cell>
        </row>
        <row r="11">
          <cell r="C11">
            <v>2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3</v>
          </cell>
        </row>
        <row r="31">
          <cell r="C31">
            <v>2</v>
          </cell>
        </row>
        <row r="32">
          <cell r="C32">
            <v>0</v>
          </cell>
        </row>
        <row r="33">
          <cell r="C33">
            <v>15</v>
          </cell>
        </row>
        <row r="34">
          <cell r="C34">
            <v>4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2</v>
          </cell>
          <cell r="D40">
            <v>1</v>
          </cell>
          <cell r="E40"/>
        </row>
        <row r="41">
          <cell r="C41">
            <v>12</v>
          </cell>
          <cell r="D41">
            <v>2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84</v>
          </cell>
        </row>
        <row r="44">
          <cell r="C44">
            <v>249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61</v>
          </cell>
        </row>
        <row r="63">
          <cell r="C63">
            <v>4</v>
          </cell>
        </row>
        <row r="74">
          <cell r="C74">
            <v>47</v>
          </cell>
          <cell r="F74">
            <v>21</v>
          </cell>
        </row>
      </sheetData>
      <sheetData sheetId="2">
        <row r="21">
          <cell r="G21">
            <v>0</v>
          </cell>
          <cell r="H21">
            <v>5</v>
          </cell>
          <cell r="I21">
            <v>0</v>
          </cell>
          <cell r="J21">
            <v>2</v>
          </cell>
          <cell r="K21">
            <v>0</v>
          </cell>
          <cell r="L21">
            <v>3</v>
          </cell>
          <cell r="M21">
            <v>3</v>
          </cell>
          <cell r="N21">
            <v>4</v>
          </cell>
          <cell r="O21">
            <v>3</v>
          </cell>
          <cell r="P21">
            <v>7</v>
          </cell>
          <cell r="Q21">
            <v>1</v>
          </cell>
          <cell r="R21">
            <v>2</v>
          </cell>
          <cell r="S21">
            <v>2</v>
          </cell>
          <cell r="T21">
            <v>1</v>
          </cell>
          <cell r="U21">
            <v>1</v>
          </cell>
          <cell r="V21">
            <v>4</v>
          </cell>
          <cell r="W21">
            <v>0</v>
          </cell>
          <cell r="X21">
            <v>2</v>
          </cell>
          <cell r="Y21">
            <v>7</v>
          </cell>
          <cell r="Z21">
            <v>13</v>
          </cell>
          <cell r="AA21">
            <v>5</v>
          </cell>
          <cell r="AB21">
            <v>10</v>
          </cell>
          <cell r="AC21">
            <v>8</v>
          </cell>
          <cell r="AD21">
            <v>9</v>
          </cell>
          <cell r="AE21">
            <v>8</v>
          </cell>
          <cell r="AF21">
            <v>17</v>
          </cell>
        </row>
      </sheetData>
      <sheetData sheetId="3">
        <row r="21">
          <cell r="J21">
            <v>1</v>
          </cell>
          <cell r="K21">
            <v>0</v>
          </cell>
          <cell r="L21">
            <v>4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1034</v>
          </cell>
        </row>
        <row r="24">
          <cell r="B24">
            <v>38</v>
          </cell>
        </row>
      </sheetData>
      <sheetData sheetId="5">
        <row r="11">
          <cell r="C11">
            <v>12</v>
          </cell>
        </row>
        <row r="13">
          <cell r="C13">
            <v>12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1</v>
          </cell>
          <cell r="P114">
            <v>1</v>
          </cell>
          <cell r="Q114">
            <v>0</v>
          </cell>
          <cell r="R114">
            <v>0</v>
          </cell>
          <cell r="S114">
            <v>1</v>
          </cell>
          <cell r="T114">
            <v>3</v>
          </cell>
          <cell r="U114">
            <v>1</v>
          </cell>
          <cell r="V114">
            <v>0</v>
          </cell>
          <cell r="W114">
            <v>4</v>
          </cell>
          <cell r="X114">
            <v>4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1</v>
          </cell>
        </row>
        <row r="186">
          <cell r="C186">
            <v>78</v>
          </cell>
        </row>
        <row r="234">
          <cell r="C234">
            <v>12</v>
          </cell>
        </row>
        <row r="241">
          <cell r="AN241">
            <v>68</v>
          </cell>
          <cell r="AO241">
            <v>0</v>
          </cell>
          <cell r="AP241">
            <v>8</v>
          </cell>
        </row>
      </sheetData>
      <sheetData sheetId="6">
        <row r="12">
          <cell r="C12">
            <v>113</v>
          </cell>
        </row>
        <row r="22">
          <cell r="C22">
            <v>430</v>
          </cell>
        </row>
        <row r="23">
          <cell r="C23">
            <v>12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17</v>
          </cell>
        </row>
        <row r="121">
          <cell r="AE121"/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13</v>
          </cell>
          <cell r="AF136">
            <v>146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7</v>
          </cell>
          <cell r="L12">
            <v>3</v>
          </cell>
          <cell r="M12">
            <v>1</v>
          </cell>
          <cell r="N12">
            <v>0</v>
          </cell>
          <cell r="O12">
            <v>5</v>
          </cell>
          <cell r="P12">
            <v>6</v>
          </cell>
          <cell r="Q12">
            <v>8</v>
          </cell>
          <cell r="R12">
            <v>8</v>
          </cell>
          <cell r="S12">
            <v>4</v>
          </cell>
          <cell r="T12">
            <v>12</v>
          </cell>
          <cell r="U12">
            <v>13</v>
          </cell>
          <cell r="V12">
            <v>3</v>
          </cell>
          <cell r="W12">
            <v>20</v>
          </cell>
          <cell r="X12">
            <v>11</v>
          </cell>
          <cell r="Y12">
            <v>25</v>
          </cell>
          <cell r="Z12">
            <v>20</v>
          </cell>
          <cell r="AA12">
            <v>11</v>
          </cell>
          <cell r="AB12">
            <v>17</v>
          </cell>
        </row>
        <row r="48">
          <cell r="G48">
            <v>2</v>
          </cell>
          <cell r="H48">
            <v>4</v>
          </cell>
          <cell r="I48">
            <v>1</v>
          </cell>
          <cell r="J48">
            <v>1</v>
          </cell>
          <cell r="K48">
            <v>10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7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3</v>
          </cell>
          <cell r="D40"/>
          <cell r="E40"/>
        </row>
        <row r="41">
          <cell r="C41">
            <v>16</v>
          </cell>
          <cell r="D41">
            <v>26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16</v>
          </cell>
        </row>
        <row r="128">
          <cell r="B128">
            <v>3</v>
          </cell>
        </row>
        <row r="129">
          <cell r="B129">
            <v>12</v>
          </cell>
        </row>
        <row r="144">
          <cell r="C144">
            <v>5</v>
          </cell>
        </row>
        <row r="155">
          <cell r="C155">
            <v>3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335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91</v>
          </cell>
        </row>
        <row r="63">
          <cell r="C63">
            <v>3</v>
          </cell>
        </row>
        <row r="74">
          <cell r="C74">
            <v>24</v>
          </cell>
          <cell r="F74">
            <v>21</v>
          </cell>
        </row>
      </sheetData>
      <sheetData sheetId="2">
        <row r="21">
          <cell r="G21">
            <v>0</v>
          </cell>
          <cell r="H21">
            <v>5</v>
          </cell>
          <cell r="I21">
            <v>2</v>
          </cell>
          <cell r="J21">
            <v>4</v>
          </cell>
          <cell r="K21">
            <v>3</v>
          </cell>
          <cell r="L21">
            <v>4</v>
          </cell>
          <cell r="M21">
            <v>1</v>
          </cell>
          <cell r="N21">
            <v>6</v>
          </cell>
          <cell r="O21">
            <v>5</v>
          </cell>
          <cell r="P21">
            <v>0</v>
          </cell>
          <cell r="Q21">
            <v>1</v>
          </cell>
          <cell r="R21">
            <v>3</v>
          </cell>
          <cell r="S21">
            <v>2</v>
          </cell>
          <cell r="T21">
            <v>3</v>
          </cell>
          <cell r="U21">
            <v>1</v>
          </cell>
          <cell r="V21">
            <v>4</v>
          </cell>
          <cell r="W21">
            <v>1</v>
          </cell>
          <cell r="X21">
            <v>2</v>
          </cell>
          <cell r="Y21">
            <v>11</v>
          </cell>
          <cell r="Z21">
            <v>11</v>
          </cell>
          <cell r="AA21">
            <v>13</v>
          </cell>
          <cell r="AB21">
            <v>11</v>
          </cell>
          <cell r="AC21">
            <v>9</v>
          </cell>
          <cell r="AD21">
            <v>15</v>
          </cell>
          <cell r="AE21">
            <v>9</v>
          </cell>
          <cell r="AF21">
            <v>24</v>
          </cell>
        </row>
      </sheetData>
      <sheetData sheetId="3">
        <row r="21">
          <cell r="J21">
            <v>0</v>
          </cell>
          <cell r="K21">
            <v>0</v>
          </cell>
          <cell r="L21">
            <v>5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4</v>
          </cell>
          <cell r="M24">
            <v>1</v>
          </cell>
        </row>
      </sheetData>
      <sheetData sheetId="4">
        <row r="12">
          <cell r="B12">
            <v>1098</v>
          </cell>
        </row>
        <row r="24">
          <cell r="B24">
            <v>87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1</v>
          </cell>
          <cell r="L114">
            <v>0</v>
          </cell>
          <cell r="M114">
            <v>0</v>
          </cell>
          <cell r="N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1</v>
          </cell>
          <cell r="T114">
            <v>3</v>
          </cell>
          <cell r="U114">
            <v>1</v>
          </cell>
          <cell r="V114">
            <v>2</v>
          </cell>
          <cell r="W114">
            <v>1</v>
          </cell>
          <cell r="X114">
            <v>3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2</v>
          </cell>
          <cell r="V127">
            <v>1</v>
          </cell>
          <cell r="W127">
            <v>1</v>
          </cell>
          <cell r="X127">
            <v>2</v>
          </cell>
          <cell r="Y127">
            <v>2</v>
          </cell>
        </row>
        <row r="186">
          <cell r="C186">
            <v>53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149</v>
          </cell>
        </row>
        <row r="22">
          <cell r="C22">
            <v>595</v>
          </cell>
        </row>
        <row r="23">
          <cell r="C23">
            <v>3</v>
          </cell>
        </row>
        <row r="32">
          <cell r="E32">
            <v>3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6</v>
          </cell>
          <cell r="AF136">
            <v>23</v>
          </cell>
        </row>
      </sheetData>
      <sheetData sheetId="8"/>
      <sheetData sheetId="9">
        <row r="12">
          <cell r="G12">
            <v>2</v>
          </cell>
          <cell r="H12">
            <v>0</v>
          </cell>
          <cell r="I12">
            <v>2</v>
          </cell>
          <cell r="J12">
            <v>0</v>
          </cell>
          <cell r="K12">
            <v>5</v>
          </cell>
          <cell r="L12">
            <v>3</v>
          </cell>
          <cell r="M12">
            <v>8</v>
          </cell>
          <cell r="N12">
            <v>2</v>
          </cell>
          <cell r="O12">
            <v>14</v>
          </cell>
          <cell r="P12">
            <v>3</v>
          </cell>
          <cell r="Q12">
            <v>7</v>
          </cell>
          <cell r="R12">
            <v>9</v>
          </cell>
          <cell r="S12">
            <v>9</v>
          </cell>
          <cell r="T12">
            <v>12</v>
          </cell>
          <cell r="U12">
            <v>16</v>
          </cell>
          <cell r="V12">
            <v>15</v>
          </cell>
          <cell r="W12">
            <v>27</v>
          </cell>
          <cell r="X12">
            <v>12</v>
          </cell>
          <cell r="Y12">
            <v>47</v>
          </cell>
          <cell r="Z12">
            <v>34</v>
          </cell>
          <cell r="AA12">
            <v>12</v>
          </cell>
          <cell r="AB12">
            <v>21</v>
          </cell>
        </row>
        <row r="48">
          <cell r="G48">
            <v>6</v>
          </cell>
          <cell r="H48">
            <v>2</v>
          </cell>
          <cell r="I48">
            <v>1</v>
          </cell>
          <cell r="J48">
            <v>4</v>
          </cell>
          <cell r="K48">
            <v>2</v>
          </cell>
          <cell r="L48">
            <v>1</v>
          </cell>
        </row>
      </sheetData>
      <sheetData sheetId="10"/>
      <sheetData sheetId="11"/>
      <sheetData sheetId="12">
        <row r="97">
          <cell r="C97">
            <v>1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1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3</v>
          </cell>
        </row>
        <row r="20">
          <cell r="C20">
            <v>2</v>
          </cell>
        </row>
        <row r="21">
          <cell r="C21">
            <v>0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6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14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>
            <v>26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2</v>
          </cell>
        </row>
        <row r="128">
          <cell r="B128">
            <v>0</v>
          </cell>
        </row>
        <row r="129">
          <cell r="B129">
            <v>7</v>
          </cell>
        </row>
        <row r="144">
          <cell r="C144">
            <v>11</v>
          </cell>
        </row>
        <row r="155">
          <cell r="C155">
            <v>2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11</v>
          </cell>
        </row>
        <row r="44">
          <cell r="C44">
            <v>415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101</v>
          </cell>
        </row>
        <row r="63">
          <cell r="C63">
            <v>0</v>
          </cell>
        </row>
        <row r="74">
          <cell r="C74">
            <v>28</v>
          </cell>
          <cell r="F74">
            <v>13</v>
          </cell>
        </row>
      </sheetData>
      <sheetData sheetId="2">
        <row r="21">
          <cell r="G21">
            <v>5</v>
          </cell>
          <cell r="H21">
            <v>7</v>
          </cell>
          <cell r="I21">
            <v>6</v>
          </cell>
          <cell r="J21">
            <v>9</v>
          </cell>
          <cell r="K21">
            <v>8</v>
          </cell>
          <cell r="L21">
            <v>8</v>
          </cell>
          <cell r="M21">
            <v>3</v>
          </cell>
          <cell r="N21">
            <v>9</v>
          </cell>
          <cell r="O21">
            <v>2</v>
          </cell>
          <cell r="P21">
            <v>13</v>
          </cell>
          <cell r="Q21">
            <v>3</v>
          </cell>
          <cell r="R21">
            <v>13</v>
          </cell>
          <cell r="S21">
            <v>1</v>
          </cell>
          <cell r="T21">
            <v>9</v>
          </cell>
          <cell r="U21">
            <v>3</v>
          </cell>
          <cell r="V21">
            <v>7</v>
          </cell>
          <cell r="W21">
            <v>7</v>
          </cell>
          <cell r="X21">
            <v>7</v>
          </cell>
          <cell r="Y21">
            <v>11</v>
          </cell>
          <cell r="Z21">
            <v>11</v>
          </cell>
          <cell r="AA21">
            <v>14</v>
          </cell>
          <cell r="AB21">
            <v>23</v>
          </cell>
          <cell r="AC21">
            <v>13</v>
          </cell>
          <cell r="AD21">
            <v>16</v>
          </cell>
          <cell r="AE21">
            <v>14</v>
          </cell>
          <cell r="AF21">
            <v>20</v>
          </cell>
        </row>
      </sheetData>
      <sheetData sheetId="3">
        <row r="21">
          <cell r="J21">
            <v>0</v>
          </cell>
          <cell r="K21">
            <v>1</v>
          </cell>
          <cell r="L21">
            <v>2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898</v>
          </cell>
        </row>
        <row r="24">
          <cell r="B24">
            <v>37</v>
          </cell>
        </row>
      </sheetData>
      <sheetData sheetId="5">
        <row r="11">
          <cell r="C11">
            <v>8</v>
          </cell>
        </row>
        <row r="13">
          <cell r="C13">
            <v>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2</v>
          </cell>
          <cell r="L114">
            <v>0</v>
          </cell>
          <cell r="M114">
            <v>1</v>
          </cell>
          <cell r="N114">
            <v>2</v>
          </cell>
          <cell r="O114">
            <v>1</v>
          </cell>
          <cell r="P114">
            <v>1</v>
          </cell>
          <cell r="Q114">
            <v>2</v>
          </cell>
          <cell r="R114">
            <v>4</v>
          </cell>
          <cell r="S114">
            <v>1</v>
          </cell>
          <cell r="T114">
            <v>0</v>
          </cell>
          <cell r="U114">
            <v>1</v>
          </cell>
          <cell r="V114">
            <v>1</v>
          </cell>
          <cell r="W114">
            <v>2</v>
          </cell>
          <cell r="X114">
            <v>8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48</v>
          </cell>
        </row>
        <row r="234">
          <cell r="C234">
            <v>1</v>
          </cell>
        </row>
        <row r="241">
          <cell r="AN241">
            <v>0</v>
          </cell>
          <cell r="AO241">
            <v>2</v>
          </cell>
          <cell r="AP241">
            <v>0</v>
          </cell>
        </row>
      </sheetData>
      <sheetData sheetId="6">
        <row r="12">
          <cell r="C12">
            <v>166</v>
          </cell>
        </row>
        <row r="22">
          <cell r="C22">
            <v>627</v>
          </cell>
        </row>
        <row r="23">
          <cell r="C23">
            <v>92</v>
          </cell>
        </row>
        <row r="32">
          <cell r="E32">
            <v>8</v>
          </cell>
        </row>
      </sheetData>
      <sheetData sheetId="7">
        <row r="120">
          <cell r="AE120"/>
          <cell r="AF120">
            <v>5</v>
          </cell>
        </row>
        <row r="121">
          <cell r="AE121"/>
          <cell r="AF121"/>
        </row>
        <row r="122">
          <cell r="AF122">
            <v>23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19</v>
          </cell>
          <cell r="AF136">
            <v>143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4</v>
          </cell>
          <cell r="J12">
            <v>1</v>
          </cell>
          <cell r="K12">
            <v>6</v>
          </cell>
          <cell r="L12">
            <v>8</v>
          </cell>
          <cell r="M12">
            <v>1</v>
          </cell>
          <cell r="N12">
            <v>5</v>
          </cell>
          <cell r="O12">
            <v>8</v>
          </cell>
          <cell r="P12">
            <v>6</v>
          </cell>
          <cell r="Q12">
            <v>11</v>
          </cell>
          <cell r="R12">
            <v>13</v>
          </cell>
          <cell r="S12">
            <v>13</v>
          </cell>
          <cell r="T12">
            <v>17</v>
          </cell>
          <cell r="U12">
            <v>14</v>
          </cell>
          <cell r="V12">
            <v>10</v>
          </cell>
          <cell r="W12">
            <v>22</v>
          </cell>
          <cell r="X12">
            <v>23</v>
          </cell>
          <cell r="Y12">
            <v>50</v>
          </cell>
          <cell r="Z12">
            <v>67</v>
          </cell>
          <cell r="AA12">
            <v>22</v>
          </cell>
          <cell r="AB12">
            <v>29</v>
          </cell>
        </row>
        <row r="48">
          <cell r="G48">
            <v>4</v>
          </cell>
          <cell r="H48">
            <v>4</v>
          </cell>
          <cell r="I48">
            <v>2</v>
          </cell>
          <cell r="J48">
            <v>3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9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1</v>
          </cell>
        </row>
        <row r="31">
          <cell r="C31">
            <v>3</v>
          </cell>
        </row>
        <row r="32">
          <cell r="C32">
            <v>0</v>
          </cell>
        </row>
        <row r="33">
          <cell r="C33">
            <v>14</v>
          </cell>
        </row>
        <row r="34">
          <cell r="C34">
            <v>4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8</v>
          </cell>
          <cell r="D41">
            <v>11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16</v>
          </cell>
        </row>
        <row r="128">
          <cell r="B128">
            <v>0</v>
          </cell>
        </row>
        <row r="129">
          <cell r="B129">
            <v>17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14</v>
          </cell>
        </row>
        <row r="44">
          <cell r="C44">
            <v>313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104</v>
          </cell>
        </row>
        <row r="63">
          <cell r="C63">
            <v>4</v>
          </cell>
        </row>
        <row r="74">
          <cell r="C74">
            <v>55</v>
          </cell>
          <cell r="F74">
            <v>21</v>
          </cell>
        </row>
      </sheetData>
      <sheetData sheetId="2">
        <row r="21">
          <cell r="G21">
            <v>0</v>
          </cell>
          <cell r="H21">
            <v>7</v>
          </cell>
          <cell r="I21">
            <v>3</v>
          </cell>
          <cell r="J21">
            <v>4</v>
          </cell>
          <cell r="K21">
            <v>4</v>
          </cell>
          <cell r="L21">
            <v>4</v>
          </cell>
          <cell r="M21">
            <v>1</v>
          </cell>
          <cell r="N21">
            <v>6</v>
          </cell>
          <cell r="O21">
            <v>3</v>
          </cell>
          <cell r="P21">
            <v>6</v>
          </cell>
          <cell r="Q21">
            <v>1</v>
          </cell>
          <cell r="R21">
            <v>4</v>
          </cell>
          <cell r="S21">
            <v>4</v>
          </cell>
          <cell r="T21">
            <v>4</v>
          </cell>
          <cell r="U21">
            <v>2</v>
          </cell>
          <cell r="V21">
            <v>3</v>
          </cell>
          <cell r="W21">
            <v>0</v>
          </cell>
          <cell r="X21">
            <v>1</v>
          </cell>
          <cell r="Y21">
            <v>12</v>
          </cell>
          <cell r="Z21">
            <v>7</v>
          </cell>
          <cell r="AA21">
            <v>5</v>
          </cell>
          <cell r="AB21">
            <v>8</v>
          </cell>
          <cell r="AC21">
            <v>6</v>
          </cell>
          <cell r="AD21">
            <v>11</v>
          </cell>
          <cell r="AE21">
            <v>9</v>
          </cell>
          <cell r="AF21">
            <v>14</v>
          </cell>
        </row>
      </sheetData>
      <sheetData sheetId="3">
        <row r="21">
          <cell r="J21">
            <v>0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1348</v>
          </cell>
        </row>
        <row r="24">
          <cell r="B24">
            <v>83</v>
          </cell>
        </row>
      </sheetData>
      <sheetData sheetId="5">
        <row r="11">
          <cell r="C11">
            <v>10</v>
          </cell>
        </row>
        <row r="13">
          <cell r="C13">
            <v>10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2</v>
          </cell>
          <cell r="L114">
            <v>0</v>
          </cell>
          <cell r="M114">
            <v>4</v>
          </cell>
          <cell r="N114">
            <v>1</v>
          </cell>
          <cell r="O114">
            <v>1</v>
          </cell>
          <cell r="P114">
            <v>0</v>
          </cell>
          <cell r="Q114">
            <v>0</v>
          </cell>
          <cell r="R114">
            <v>0</v>
          </cell>
          <cell r="S114">
            <v>1</v>
          </cell>
          <cell r="T114">
            <v>2</v>
          </cell>
          <cell r="U114">
            <v>2</v>
          </cell>
          <cell r="V114">
            <v>3</v>
          </cell>
          <cell r="W114">
            <v>3</v>
          </cell>
          <cell r="X114">
            <v>1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</v>
          </cell>
          <cell r="U127">
            <v>1</v>
          </cell>
          <cell r="V127">
            <v>1</v>
          </cell>
          <cell r="W127">
            <v>0</v>
          </cell>
          <cell r="X127">
            <v>2</v>
          </cell>
          <cell r="Y127">
            <v>6</v>
          </cell>
        </row>
        <row r="186">
          <cell r="C186">
            <v>87</v>
          </cell>
        </row>
        <row r="234">
          <cell r="C234">
            <v>16</v>
          </cell>
        </row>
        <row r="241">
          <cell r="AN241">
            <v>179</v>
          </cell>
          <cell r="AO241">
            <v>6</v>
          </cell>
          <cell r="AP241">
            <v>7</v>
          </cell>
        </row>
      </sheetData>
      <sheetData sheetId="6">
        <row r="12">
          <cell r="C12">
            <v>132</v>
          </cell>
        </row>
        <row r="22">
          <cell r="C22">
            <v>471</v>
          </cell>
        </row>
        <row r="23">
          <cell r="C23">
            <v>1</v>
          </cell>
        </row>
        <row r="32">
          <cell r="E32">
            <v>2</v>
          </cell>
        </row>
      </sheetData>
      <sheetData sheetId="7">
        <row r="120">
          <cell r="AE120"/>
          <cell r="AF120"/>
        </row>
        <row r="121">
          <cell r="AE121">
            <v>1</v>
          </cell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12</v>
          </cell>
          <cell r="AF136">
            <v>81</v>
          </cell>
        </row>
      </sheetData>
      <sheetData sheetId="8"/>
      <sheetData sheetId="9">
        <row r="12">
          <cell r="G12">
            <v>0</v>
          </cell>
          <cell r="H12">
            <v>2</v>
          </cell>
          <cell r="I12">
            <v>2</v>
          </cell>
          <cell r="J12">
            <v>3</v>
          </cell>
          <cell r="K12">
            <v>3</v>
          </cell>
          <cell r="L12">
            <v>1</v>
          </cell>
          <cell r="M12">
            <v>3</v>
          </cell>
          <cell r="N12">
            <v>6</v>
          </cell>
          <cell r="O12">
            <v>9</v>
          </cell>
          <cell r="P12">
            <v>6</v>
          </cell>
          <cell r="Q12">
            <v>11</v>
          </cell>
          <cell r="R12">
            <v>6</v>
          </cell>
          <cell r="S12">
            <v>13</v>
          </cell>
          <cell r="T12">
            <v>11</v>
          </cell>
          <cell r="U12">
            <v>17</v>
          </cell>
          <cell r="V12">
            <v>6</v>
          </cell>
          <cell r="W12">
            <v>24</v>
          </cell>
          <cell r="X12">
            <v>21</v>
          </cell>
          <cell r="Y12">
            <v>30</v>
          </cell>
          <cell r="Z12">
            <v>36</v>
          </cell>
          <cell r="AA12">
            <v>16</v>
          </cell>
          <cell r="AB12">
            <v>20</v>
          </cell>
        </row>
        <row r="48">
          <cell r="G48">
            <v>6</v>
          </cell>
          <cell r="H48">
            <v>10</v>
          </cell>
          <cell r="I48">
            <v>4</v>
          </cell>
          <cell r="J48">
            <v>0</v>
          </cell>
          <cell r="K48">
            <v>2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24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7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3</v>
          </cell>
        </row>
        <row r="30">
          <cell r="C30">
            <v>2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>
            <v>1</v>
          </cell>
        </row>
        <row r="41">
          <cell r="C41">
            <v>8</v>
          </cell>
          <cell r="D41">
            <v>7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10</v>
          </cell>
        </row>
        <row r="128">
          <cell r="B128">
            <v>0</v>
          </cell>
        </row>
        <row r="129">
          <cell r="B129">
            <v>30</v>
          </cell>
        </row>
        <row r="144">
          <cell r="C144">
            <v>0</v>
          </cell>
        </row>
        <row r="155">
          <cell r="C155">
            <v>1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359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2</v>
          </cell>
        </row>
        <row r="57">
          <cell r="C57">
            <v>75</v>
          </cell>
        </row>
        <row r="63">
          <cell r="C63">
            <v>0</v>
          </cell>
        </row>
        <row r="74">
          <cell r="C74">
            <v>51</v>
          </cell>
          <cell r="F74">
            <v>16</v>
          </cell>
        </row>
      </sheetData>
      <sheetData sheetId="2">
        <row r="21">
          <cell r="G21">
            <v>5</v>
          </cell>
          <cell r="H21">
            <v>5</v>
          </cell>
          <cell r="I21">
            <v>8</v>
          </cell>
          <cell r="J21">
            <v>11</v>
          </cell>
          <cell r="K21">
            <v>4</v>
          </cell>
          <cell r="L21">
            <v>9</v>
          </cell>
          <cell r="M21">
            <v>5</v>
          </cell>
          <cell r="N21">
            <v>13</v>
          </cell>
          <cell r="O21">
            <v>7</v>
          </cell>
          <cell r="P21">
            <v>12</v>
          </cell>
          <cell r="Q21">
            <v>10</v>
          </cell>
          <cell r="R21">
            <v>8</v>
          </cell>
          <cell r="S21">
            <v>2</v>
          </cell>
          <cell r="T21">
            <v>9</v>
          </cell>
          <cell r="U21">
            <v>5</v>
          </cell>
          <cell r="V21">
            <v>6</v>
          </cell>
          <cell r="W21">
            <v>1</v>
          </cell>
          <cell r="X21">
            <v>7</v>
          </cell>
          <cell r="Y21">
            <v>10</v>
          </cell>
          <cell r="Z21">
            <v>19</v>
          </cell>
          <cell r="AA21">
            <v>17</v>
          </cell>
          <cell r="AB21">
            <v>25</v>
          </cell>
          <cell r="AC21">
            <v>10</v>
          </cell>
          <cell r="AD21">
            <v>13</v>
          </cell>
          <cell r="AE21">
            <v>18</v>
          </cell>
          <cell r="AF21">
            <v>32</v>
          </cell>
        </row>
      </sheetData>
      <sheetData sheetId="3">
        <row r="21">
          <cell r="J21"/>
          <cell r="K21"/>
          <cell r="L21">
            <v>4</v>
          </cell>
          <cell r="M21">
            <v>5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>
            <v>2</v>
          </cell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971</v>
          </cell>
        </row>
        <row r="24">
          <cell r="B24">
            <v>35</v>
          </cell>
        </row>
      </sheetData>
      <sheetData sheetId="5">
        <row r="11">
          <cell r="C11">
            <v>20</v>
          </cell>
        </row>
        <row r="13">
          <cell r="C13">
            <v>20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Q114">
            <v>1</v>
          </cell>
          <cell r="R114">
            <v>2</v>
          </cell>
          <cell r="S114">
            <v>2</v>
          </cell>
          <cell r="T114">
            <v>1</v>
          </cell>
          <cell r="U114">
            <v>2</v>
          </cell>
          <cell r="V114">
            <v>1</v>
          </cell>
          <cell r="W114">
            <v>1</v>
          </cell>
          <cell r="X114">
            <v>3</v>
          </cell>
          <cell r="Y114">
            <v>5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2</v>
          </cell>
          <cell r="W127">
            <v>2</v>
          </cell>
          <cell r="X127">
            <v>0</v>
          </cell>
          <cell r="Y127">
            <v>0</v>
          </cell>
        </row>
        <row r="186">
          <cell r="C186">
            <v>50</v>
          </cell>
        </row>
        <row r="234">
          <cell r="C234">
            <v>8</v>
          </cell>
        </row>
        <row r="241">
          <cell r="AN241">
            <v>163</v>
          </cell>
          <cell r="AO241">
            <v>4</v>
          </cell>
          <cell r="AP241">
            <v>3</v>
          </cell>
        </row>
      </sheetData>
      <sheetData sheetId="6">
        <row r="12">
          <cell r="C12">
            <v>172</v>
          </cell>
        </row>
        <row r="22">
          <cell r="C22">
            <v>679</v>
          </cell>
        </row>
        <row r="23">
          <cell r="C23">
            <v>1</v>
          </cell>
        </row>
        <row r="32">
          <cell r="E32">
            <v>4</v>
          </cell>
        </row>
      </sheetData>
      <sheetData sheetId="7">
        <row r="120">
          <cell r="AE120"/>
          <cell r="AF120">
            <v>14</v>
          </cell>
        </row>
        <row r="121">
          <cell r="AE121"/>
          <cell r="AF121"/>
        </row>
        <row r="122">
          <cell r="AF122">
            <v>22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13</v>
          </cell>
          <cell r="AF136">
            <v>185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3</v>
          </cell>
          <cell r="J12">
            <v>4</v>
          </cell>
          <cell r="K12">
            <v>9</v>
          </cell>
          <cell r="L12">
            <v>8</v>
          </cell>
          <cell r="M12">
            <v>6</v>
          </cell>
          <cell r="N12">
            <v>3</v>
          </cell>
          <cell r="O12">
            <v>15</v>
          </cell>
          <cell r="P12">
            <v>11</v>
          </cell>
          <cell r="Q12">
            <v>22</v>
          </cell>
          <cell r="R12">
            <v>6</v>
          </cell>
          <cell r="S12">
            <v>22</v>
          </cell>
          <cell r="T12">
            <v>10</v>
          </cell>
          <cell r="U12">
            <v>22</v>
          </cell>
          <cell r="V12">
            <v>8</v>
          </cell>
          <cell r="W12">
            <v>39</v>
          </cell>
          <cell r="X12">
            <v>36</v>
          </cell>
          <cell r="Y12">
            <v>94</v>
          </cell>
          <cell r="Z12">
            <v>74</v>
          </cell>
          <cell r="AA12">
            <v>23</v>
          </cell>
          <cell r="AB12">
            <v>19</v>
          </cell>
        </row>
        <row r="48">
          <cell r="G48">
            <v>10</v>
          </cell>
          <cell r="H48">
            <v>9</v>
          </cell>
          <cell r="I48">
            <v>5</v>
          </cell>
          <cell r="J48">
            <v>7</v>
          </cell>
          <cell r="K48">
            <v>5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14</v>
          </cell>
        </row>
        <row r="13">
          <cell r="C13">
            <v>0</v>
          </cell>
        </row>
        <row r="14">
          <cell r="C14">
            <v>4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6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9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6</v>
          </cell>
          <cell r="D41">
            <v>7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14</v>
          </cell>
        </row>
        <row r="128">
          <cell r="B128">
            <v>0</v>
          </cell>
        </row>
        <row r="129">
          <cell r="B129">
            <v>19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141</v>
          </cell>
        </row>
        <row r="63">
          <cell r="C63">
            <v>0</v>
          </cell>
        </row>
        <row r="74">
          <cell r="C74">
            <v>34</v>
          </cell>
          <cell r="F74">
            <v>13</v>
          </cell>
        </row>
      </sheetData>
      <sheetData sheetId="2">
        <row r="21">
          <cell r="G21">
            <v>4</v>
          </cell>
          <cell r="H21">
            <v>2</v>
          </cell>
          <cell r="I21">
            <v>6</v>
          </cell>
          <cell r="J21">
            <v>7</v>
          </cell>
          <cell r="K21">
            <v>1</v>
          </cell>
          <cell r="L21">
            <v>10</v>
          </cell>
          <cell r="M21">
            <v>4</v>
          </cell>
          <cell r="N21">
            <v>5</v>
          </cell>
          <cell r="O21">
            <v>1</v>
          </cell>
          <cell r="P21">
            <v>7</v>
          </cell>
          <cell r="Q21">
            <v>2</v>
          </cell>
          <cell r="R21">
            <v>9</v>
          </cell>
          <cell r="S21">
            <v>1</v>
          </cell>
          <cell r="T21">
            <v>1</v>
          </cell>
          <cell r="U21">
            <v>3</v>
          </cell>
          <cell r="V21">
            <v>2</v>
          </cell>
          <cell r="W21">
            <v>1</v>
          </cell>
          <cell r="X21">
            <v>13</v>
          </cell>
          <cell r="Y21">
            <v>13</v>
          </cell>
          <cell r="Z21">
            <v>40</v>
          </cell>
          <cell r="AA21">
            <v>25</v>
          </cell>
          <cell r="AB21">
            <v>38</v>
          </cell>
          <cell r="AC21">
            <v>19</v>
          </cell>
          <cell r="AD21">
            <v>29</v>
          </cell>
          <cell r="AE21">
            <v>30</v>
          </cell>
          <cell r="AF21">
            <v>55</v>
          </cell>
        </row>
      </sheetData>
      <sheetData sheetId="3">
        <row r="21">
          <cell r="J21">
            <v>3</v>
          </cell>
          <cell r="K21">
            <v>1</v>
          </cell>
          <cell r="L21">
            <v>5</v>
          </cell>
          <cell r="M21">
            <v>4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>
            <v>1</v>
          </cell>
          <cell r="M23">
            <v>2</v>
          </cell>
        </row>
        <row r="24">
          <cell r="J24"/>
          <cell r="K24"/>
          <cell r="L24"/>
          <cell r="M24"/>
        </row>
      </sheetData>
      <sheetData sheetId="4">
        <row r="12">
          <cell r="B12">
            <v>1464</v>
          </cell>
        </row>
        <row r="24">
          <cell r="B24">
            <v>70</v>
          </cell>
        </row>
      </sheetData>
      <sheetData sheetId="5">
        <row r="11">
          <cell r="C11">
            <v>26</v>
          </cell>
        </row>
        <row r="13">
          <cell r="C13">
            <v>25</v>
          </cell>
        </row>
        <row r="114">
          <cell r="H114">
            <v>0</v>
          </cell>
          <cell r="I114">
            <v>2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4</v>
          </cell>
          <cell r="P114">
            <v>0</v>
          </cell>
          <cell r="Q114">
            <v>2</v>
          </cell>
          <cell r="R114">
            <v>1</v>
          </cell>
          <cell r="S114">
            <v>2</v>
          </cell>
          <cell r="T114">
            <v>0</v>
          </cell>
          <cell r="U114">
            <v>4</v>
          </cell>
          <cell r="V114">
            <v>7</v>
          </cell>
          <cell r="W114">
            <v>3</v>
          </cell>
          <cell r="X114">
            <v>3</v>
          </cell>
          <cell r="Y114">
            <v>6</v>
          </cell>
        </row>
        <row r="127">
          <cell r="H127"/>
          <cell r="I127"/>
          <cell r="J127">
            <v>1</v>
          </cell>
          <cell r="K127"/>
          <cell r="L127"/>
          <cell r="M127">
            <v>3</v>
          </cell>
          <cell r="N127"/>
          <cell r="O127"/>
          <cell r="P127"/>
          <cell r="Q127">
            <v>1</v>
          </cell>
          <cell r="R127">
            <v>1</v>
          </cell>
          <cell r="S127"/>
          <cell r="T127"/>
          <cell r="U127"/>
          <cell r="V127"/>
          <cell r="W127">
            <v>4</v>
          </cell>
          <cell r="X127">
            <v>1</v>
          </cell>
          <cell r="Y127">
            <v>1</v>
          </cell>
        </row>
        <row r="186">
          <cell r="C186">
            <v>87</v>
          </cell>
        </row>
        <row r="234">
          <cell r="C234">
            <v>20</v>
          </cell>
        </row>
        <row r="241">
          <cell r="AN241">
            <v>0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193</v>
          </cell>
        </row>
        <row r="22">
          <cell r="C22">
            <v>849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36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/>
          <cell r="J12"/>
          <cell r="K12">
            <v>1</v>
          </cell>
          <cell r="L12">
            <v>1</v>
          </cell>
          <cell r="M12">
            <v>2</v>
          </cell>
          <cell r="N12">
            <v>1</v>
          </cell>
          <cell r="O12"/>
          <cell r="P12">
            <v>1</v>
          </cell>
          <cell r="Q12">
            <v>4</v>
          </cell>
          <cell r="R12">
            <v>3</v>
          </cell>
          <cell r="S12">
            <v>9</v>
          </cell>
          <cell r="T12">
            <v>7</v>
          </cell>
          <cell r="U12">
            <v>10</v>
          </cell>
          <cell r="V12">
            <v>8</v>
          </cell>
          <cell r="W12">
            <v>13</v>
          </cell>
          <cell r="X12">
            <v>24</v>
          </cell>
          <cell r="Y12">
            <v>26</v>
          </cell>
          <cell r="Z12">
            <v>25</v>
          </cell>
          <cell r="AA12">
            <v>17</v>
          </cell>
          <cell r="AB12">
            <v>24</v>
          </cell>
        </row>
        <row r="48">
          <cell r="G48">
            <v>11</v>
          </cell>
          <cell r="H48">
            <v>6</v>
          </cell>
          <cell r="I48">
            <v>5</v>
          </cell>
          <cell r="J48">
            <v>9</v>
          </cell>
          <cell r="K48">
            <v>5</v>
          </cell>
          <cell r="L48">
            <v>9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13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107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37</v>
          </cell>
        </row>
        <row r="63">
          <cell r="C63">
            <v>0</v>
          </cell>
        </row>
        <row r="74">
          <cell r="C74">
            <v>13</v>
          </cell>
          <cell r="F74">
            <v>5</v>
          </cell>
        </row>
      </sheetData>
      <sheetData sheetId="2">
        <row r="21">
          <cell r="G21">
            <v>4</v>
          </cell>
          <cell r="H21">
            <v>10</v>
          </cell>
          <cell r="I21">
            <v>4</v>
          </cell>
          <cell r="J21">
            <v>9</v>
          </cell>
          <cell r="K21">
            <v>1</v>
          </cell>
          <cell r="L21">
            <v>9</v>
          </cell>
          <cell r="M21">
            <v>2</v>
          </cell>
          <cell r="N21">
            <v>11</v>
          </cell>
          <cell r="O21">
            <v>3</v>
          </cell>
          <cell r="P21">
            <v>5</v>
          </cell>
          <cell r="Q21">
            <v>2</v>
          </cell>
          <cell r="R21">
            <v>8</v>
          </cell>
          <cell r="S21">
            <v>2</v>
          </cell>
          <cell r="T21">
            <v>6</v>
          </cell>
          <cell r="U21">
            <v>2</v>
          </cell>
          <cell r="V21">
            <v>8</v>
          </cell>
          <cell r="W21">
            <v>7</v>
          </cell>
          <cell r="X21">
            <v>2</v>
          </cell>
          <cell r="Y21">
            <v>12</v>
          </cell>
          <cell r="Z21">
            <v>26</v>
          </cell>
          <cell r="AA21">
            <v>24</v>
          </cell>
          <cell r="AB21">
            <v>32</v>
          </cell>
          <cell r="AC21">
            <v>15</v>
          </cell>
          <cell r="AD21">
            <v>21</v>
          </cell>
          <cell r="AE21">
            <v>19</v>
          </cell>
          <cell r="AF21">
            <v>46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9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1015</v>
          </cell>
        </row>
        <row r="24">
          <cell r="B24">
            <v>51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>
            <v>2</v>
          </cell>
          <cell r="N114">
            <v>1</v>
          </cell>
          <cell r="O114"/>
          <cell r="P114"/>
          <cell r="Q114"/>
          <cell r="R114">
            <v>2</v>
          </cell>
          <cell r="S114"/>
          <cell r="T114">
            <v>2</v>
          </cell>
          <cell r="U114"/>
          <cell r="V114">
            <v>1</v>
          </cell>
          <cell r="W114">
            <v>1</v>
          </cell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/>
          <cell r="Y127"/>
        </row>
        <row r="186">
          <cell r="C186">
            <v>19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87</v>
          </cell>
        </row>
        <row r="22">
          <cell r="C22">
            <v>492</v>
          </cell>
        </row>
        <row r="23">
          <cell r="C23">
            <v>4</v>
          </cell>
        </row>
        <row r="32">
          <cell r="E32">
            <v>3</v>
          </cell>
        </row>
      </sheetData>
      <sheetData sheetId="7">
        <row r="120">
          <cell r="AE120"/>
          <cell r="AF120">
            <v>26</v>
          </cell>
        </row>
        <row r="121">
          <cell r="AE121">
            <v>1</v>
          </cell>
          <cell r="AF121"/>
        </row>
        <row r="122">
          <cell r="AF122">
            <v>13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5</v>
          </cell>
          <cell r="AF136">
            <v>391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2</v>
          </cell>
          <cell r="M12">
            <v>5</v>
          </cell>
          <cell r="N12">
            <v>5</v>
          </cell>
          <cell r="O12">
            <v>1</v>
          </cell>
          <cell r="P12">
            <v>3</v>
          </cell>
          <cell r="Q12">
            <v>5</v>
          </cell>
          <cell r="R12">
            <v>1</v>
          </cell>
          <cell r="S12">
            <v>7</v>
          </cell>
          <cell r="T12">
            <v>1</v>
          </cell>
          <cell r="U12">
            <v>4</v>
          </cell>
          <cell r="V12">
            <v>6</v>
          </cell>
          <cell r="W12">
            <v>8</v>
          </cell>
          <cell r="X12">
            <v>6</v>
          </cell>
          <cell r="Y12">
            <v>15</v>
          </cell>
          <cell r="Z12">
            <v>8</v>
          </cell>
          <cell r="AA12">
            <v>10</v>
          </cell>
          <cell r="AB12">
            <v>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7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9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15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7</v>
          </cell>
          <cell r="D38"/>
          <cell r="E38">
            <v>5</v>
          </cell>
        </row>
        <row r="40">
          <cell r="C40">
            <v>4</v>
          </cell>
          <cell r="D40"/>
          <cell r="E40">
            <v>6</v>
          </cell>
        </row>
        <row r="41">
          <cell r="C41">
            <v>4</v>
          </cell>
          <cell r="D41"/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58</v>
          </cell>
        </row>
        <row r="63">
          <cell r="C63">
            <v>0</v>
          </cell>
        </row>
        <row r="74">
          <cell r="C74">
            <v>8</v>
          </cell>
          <cell r="F74">
            <v>2</v>
          </cell>
        </row>
      </sheetData>
      <sheetData sheetId="2">
        <row r="21">
          <cell r="G21">
            <v>1</v>
          </cell>
          <cell r="H21">
            <v>2</v>
          </cell>
          <cell r="I21">
            <v>1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3</v>
          </cell>
          <cell r="Z21">
            <v>4</v>
          </cell>
          <cell r="AA21">
            <v>9</v>
          </cell>
          <cell r="AB21">
            <v>7</v>
          </cell>
          <cell r="AC21">
            <v>7</v>
          </cell>
          <cell r="AD21">
            <v>8</v>
          </cell>
          <cell r="AE21">
            <v>10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4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1621</v>
          </cell>
        </row>
        <row r="24">
          <cell r="B24">
            <v>100</v>
          </cell>
        </row>
      </sheetData>
      <sheetData sheetId="5">
        <row r="11">
          <cell r="C11">
            <v>17</v>
          </cell>
        </row>
        <row r="13">
          <cell r="C13">
            <v>17</v>
          </cell>
        </row>
        <row r="114">
          <cell r="H114"/>
          <cell r="I114"/>
          <cell r="J114"/>
          <cell r="K114"/>
          <cell r="L114">
            <v>1</v>
          </cell>
          <cell r="M114"/>
          <cell r="N114"/>
          <cell r="O114"/>
          <cell r="P114"/>
          <cell r="Q114">
            <v>1</v>
          </cell>
          <cell r="R114"/>
          <cell r="S114"/>
          <cell r="T114">
            <v>1</v>
          </cell>
          <cell r="U114">
            <v>1</v>
          </cell>
          <cell r="V114"/>
          <cell r="W114">
            <v>1</v>
          </cell>
          <cell r="X114"/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/>
          <cell r="W127">
            <v>1</v>
          </cell>
          <cell r="X127"/>
          <cell r="Y127"/>
        </row>
        <row r="186">
          <cell r="C186">
            <v>25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67</v>
          </cell>
        </row>
        <row r="22">
          <cell r="C22">
            <v>227</v>
          </cell>
        </row>
        <row r="23">
          <cell r="C23">
            <v>3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17</v>
          </cell>
        </row>
        <row r="121">
          <cell r="AE121"/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11</v>
          </cell>
          <cell r="AF136">
            <v>420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5</v>
          </cell>
          <cell r="O12">
            <v>2</v>
          </cell>
          <cell r="P12">
            <v>1</v>
          </cell>
          <cell r="Q12">
            <v>6</v>
          </cell>
          <cell r="R12">
            <v>4</v>
          </cell>
          <cell r="S12">
            <v>11</v>
          </cell>
          <cell r="T12">
            <v>7</v>
          </cell>
          <cell r="U12">
            <v>6</v>
          </cell>
          <cell r="V12">
            <v>2</v>
          </cell>
          <cell r="W12">
            <v>8</v>
          </cell>
          <cell r="X12">
            <v>14</v>
          </cell>
          <cell r="Y12">
            <v>10</v>
          </cell>
          <cell r="Z12">
            <v>15</v>
          </cell>
          <cell r="AA12">
            <v>6</v>
          </cell>
          <cell r="AB12">
            <v>5</v>
          </cell>
        </row>
        <row r="48">
          <cell r="G48">
            <v>6</v>
          </cell>
          <cell r="H48">
            <v>1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2</v>
          </cell>
        </row>
        <row r="40">
          <cell r="C40">
            <v>1</v>
          </cell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11</v>
          </cell>
        </row>
      </sheetData>
      <sheetData sheetId="27"/>
      <sheetData sheetId="2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218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109</v>
          </cell>
        </row>
        <row r="63">
          <cell r="C63">
            <v>0</v>
          </cell>
        </row>
        <row r="74">
          <cell r="C74">
            <v>11</v>
          </cell>
          <cell r="F74">
            <v>11</v>
          </cell>
        </row>
      </sheetData>
      <sheetData sheetId="2">
        <row r="21">
          <cell r="G21">
            <v>2</v>
          </cell>
          <cell r="H21">
            <v>9</v>
          </cell>
          <cell r="I21">
            <v>2</v>
          </cell>
          <cell r="J21">
            <v>16</v>
          </cell>
          <cell r="K21">
            <v>4</v>
          </cell>
          <cell r="L21">
            <v>14</v>
          </cell>
          <cell r="M21">
            <v>2</v>
          </cell>
          <cell r="N21">
            <v>7</v>
          </cell>
          <cell r="O21">
            <v>0</v>
          </cell>
          <cell r="P21">
            <v>14</v>
          </cell>
          <cell r="Q21">
            <v>0</v>
          </cell>
          <cell r="R21">
            <v>7</v>
          </cell>
          <cell r="S21">
            <v>3</v>
          </cell>
          <cell r="T21">
            <v>9</v>
          </cell>
          <cell r="U21">
            <v>1</v>
          </cell>
          <cell r="V21">
            <v>8</v>
          </cell>
          <cell r="W21">
            <v>1</v>
          </cell>
          <cell r="X21">
            <v>4</v>
          </cell>
          <cell r="Y21">
            <v>2</v>
          </cell>
          <cell r="Z21">
            <v>5</v>
          </cell>
          <cell r="AA21">
            <v>5</v>
          </cell>
          <cell r="AB21">
            <v>5</v>
          </cell>
          <cell r="AC21">
            <v>2</v>
          </cell>
          <cell r="AD21">
            <v>4</v>
          </cell>
          <cell r="AE21">
            <v>3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4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1690</v>
          </cell>
        </row>
        <row r="24">
          <cell r="B24">
            <v>75</v>
          </cell>
        </row>
      </sheetData>
      <sheetData sheetId="5">
        <row r="11">
          <cell r="C11">
            <v>12</v>
          </cell>
        </row>
        <row r="13">
          <cell r="C13">
            <v>11</v>
          </cell>
        </row>
        <row r="114">
          <cell r="H114"/>
          <cell r="I114"/>
          <cell r="J114"/>
          <cell r="K114">
            <v>1</v>
          </cell>
          <cell r="L114"/>
          <cell r="M114">
            <v>2</v>
          </cell>
          <cell r="N114"/>
          <cell r="O114"/>
          <cell r="P114">
            <v>1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2</v>
          </cell>
          <cell r="V114">
            <v>2</v>
          </cell>
          <cell r="W114">
            <v>4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84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123</v>
          </cell>
        </row>
        <row r="22">
          <cell r="C22">
            <v>351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8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31</v>
          </cell>
          <cell r="AF136">
            <v>397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2</v>
          </cell>
          <cell r="N12">
            <v>0</v>
          </cell>
          <cell r="O12">
            <v>3</v>
          </cell>
          <cell r="P12">
            <v>3</v>
          </cell>
          <cell r="Q12">
            <v>2</v>
          </cell>
          <cell r="R12">
            <v>0</v>
          </cell>
          <cell r="S12">
            <v>1</v>
          </cell>
          <cell r="T12">
            <v>4</v>
          </cell>
          <cell r="U12">
            <v>2</v>
          </cell>
          <cell r="V12">
            <v>1</v>
          </cell>
          <cell r="W12">
            <v>7</v>
          </cell>
          <cell r="X12">
            <v>2</v>
          </cell>
          <cell r="Y12">
            <v>13</v>
          </cell>
          <cell r="Z12">
            <v>5</v>
          </cell>
          <cell r="AA12">
            <v>3</v>
          </cell>
          <cell r="AB12">
            <v>8</v>
          </cell>
        </row>
        <row r="48">
          <cell r="G48">
            <v>3</v>
          </cell>
          <cell r="H48">
            <v>2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>
            <v>1</v>
          </cell>
        </row>
        <row r="41">
          <cell r="C41">
            <v>9</v>
          </cell>
          <cell r="D41">
            <v>2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150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70</v>
          </cell>
        </row>
        <row r="63">
          <cell r="C63">
            <v>0</v>
          </cell>
        </row>
        <row r="74">
          <cell r="C74">
            <v>15</v>
          </cell>
          <cell r="F74">
            <v>8</v>
          </cell>
        </row>
      </sheetData>
      <sheetData sheetId="2">
        <row r="21">
          <cell r="G21">
            <v>13</v>
          </cell>
          <cell r="H21">
            <v>20</v>
          </cell>
          <cell r="I21">
            <v>8</v>
          </cell>
          <cell r="J21">
            <v>17</v>
          </cell>
          <cell r="K21">
            <v>8</v>
          </cell>
          <cell r="L21">
            <v>18</v>
          </cell>
          <cell r="M21">
            <v>5</v>
          </cell>
          <cell r="N21">
            <v>22</v>
          </cell>
          <cell r="O21">
            <v>7</v>
          </cell>
          <cell r="P21">
            <v>16</v>
          </cell>
          <cell r="Q21">
            <v>5</v>
          </cell>
          <cell r="R21">
            <v>17</v>
          </cell>
          <cell r="S21">
            <v>6</v>
          </cell>
          <cell r="T21">
            <v>13</v>
          </cell>
          <cell r="U21">
            <v>6</v>
          </cell>
          <cell r="V21">
            <v>13</v>
          </cell>
          <cell r="W21">
            <v>6</v>
          </cell>
          <cell r="X21">
            <v>5</v>
          </cell>
          <cell r="Y21">
            <v>3</v>
          </cell>
          <cell r="Z21">
            <v>9</v>
          </cell>
          <cell r="AA21">
            <v>8</v>
          </cell>
          <cell r="AB21">
            <v>9</v>
          </cell>
          <cell r="AC21">
            <v>10</v>
          </cell>
          <cell r="AD21">
            <v>9</v>
          </cell>
          <cell r="AE21">
            <v>13</v>
          </cell>
          <cell r="AF21">
            <v>18</v>
          </cell>
        </row>
      </sheetData>
      <sheetData sheetId="3">
        <row r="21">
          <cell r="J21">
            <v>0</v>
          </cell>
          <cell r="K21">
            <v>2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1</v>
          </cell>
        </row>
      </sheetData>
      <sheetData sheetId="4">
        <row r="12">
          <cell r="B12">
            <v>2150</v>
          </cell>
        </row>
        <row r="24">
          <cell r="B24">
            <v>126</v>
          </cell>
        </row>
      </sheetData>
      <sheetData sheetId="5">
        <row r="11">
          <cell r="C11">
            <v>8</v>
          </cell>
        </row>
        <row r="13">
          <cell r="C13">
            <v>5</v>
          </cell>
        </row>
        <row r="114">
          <cell r="H114"/>
          <cell r="I114">
            <v>1</v>
          </cell>
          <cell r="J114">
            <v>1</v>
          </cell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>
            <v>2</v>
          </cell>
          <cell r="T114">
            <v>2</v>
          </cell>
          <cell r="U114"/>
          <cell r="V114">
            <v>1</v>
          </cell>
          <cell r="W114">
            <v>4</v>
          </cell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61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184</v>
          </cell>
        </row>
        <row r="22">
          <cell r="C22">
            <v>433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21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430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7</v>
          </cell>
          <cell r="N12">
            <v>3</v>
          </cell>
          <cell r="O12">
            <v>11</v>
          </cell>
          <cell r="P12">
            <v>10</v>
          </cell>
          <cell r="Q12">
            <v>2</v>
          </cell>
          <cell r="R12">
            <v>4</v>
          </cell>
          <cell r="S12">
            <v>1</v>
          </cell>
          <cell r="T12">
            <v>8</v>
          </cell>
          <cell r="U12">
            <v>6</v>
          </cell>
          <cell r="V12">
            <v>6</v>
          </cell>
          <cell r="W12">
            <v>7</v>
          </cell>
          <cell r="X12">
            <v>8</v>
          </cell>
          <cell r="Y12">
            <v>9</v>
          </cell>
          <cell r="Z12">
            <v>5</v>
          </cell>
          <cell r="AA12">
            <v>0</v>
          </cell>
          <cell r="AB12">
            <v>6</v>
          </cell>
        </row>
        <row r="48">
          <cell r="G48">
            <v>4</v>
          </cell>
          <cell r="H48">
            <v>5</v>
          </cell>
          <cell r="I48">
            <v>1</v>
          </cell>
          <cell r="J48">
            <v>2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4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2</v>
          </cell>
          <cell r="D38"/>
          <cell r="E38">
            <v>4</v>
          </cell>
        </row>
        <row r="40">
          <cell r="C40">
            <v>3</v>
          </cell>
          <cell r="D40"/>
          <cell r="E40">
            <v>2</v>
          </cell>
        </row>
        <row r="41">
          <cell r="C41">
            <v>6</v>
          </cell>
          <cell r="D41">
            <v>3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139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53</v>
          </cell>
        </row>
        <row r="63">
          <cell r="C63">
            <v>0</v>
          </cell>
        </row>
        <row r="74">
          <cell r="C74">
            <v>37</v>
          </cell>
          <cell r="F74">
            <v>14</v>
          </cell>
        </row>
      </sheetData>
      <sheetData sheetId="2">
        <row r="21">
          <cell r="G21">
            <v>10</v>
          </cell>
          <cell r="H21">
            <v>12</v>
          </cell>
          <cell r="I21">
            <v>4</v>
          </cell>
          <cell r="J21">
            <v>10</v>
          </cell>
          <cell r="K21">
            <v>3</v>
          </cell>
          <cell r="L21">
            <v>11</v>
          </cell>
          <cell r="M21">
            <v>4</v>
          </cell>
          <cell r="N21">
            <v>7</v>
          </cell>
          <cell r="O21">
            <v>4</v>
          </cell>
          <cell r="P21">
            <v>9</v>
          </cell>
          <cell r="Q21">
            <v>5</v>
          </cell>
          <cell r="R21">
            <v>9</v>
          </cell>
          <cell r="S21">
            <v>4</v>
          </cell>
          <cell r="T21">
            <v>12</v>
          </cell>
          <cell r="U21">
            <v>2</v>
          </cell>
          <cell r="V21">
            <v>5</v>
          </cell>
          <cell r="W21">
            <v>5</v>
          </cell>
          <cell r="X21">
            <v>7</v>
          </cell>
          <cell r="Y21">
            <v>17</v>
          </cell>
          <cell r="Z21">
            <v>19</v>
          </cell>
          <cell r="AA21">
            <v>14</v>
          </cell>
          <cell r="AB21">
            <v>20</v>
          </cell>
          <cell r="AC21">
            <v>8</v>
          </cell>
          <cell r="AD21">
            <v>8</v>
          </cell>
          <cell r="AE21">
            <v>11</v>
          </cell>
          <cell r="AF21">
            <v>20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1540</v>
          </cell>
        </row>
        <row r="24">
          <cell r="B24">
            <v>64</v>
          </cell>
        </row>
      </sheetData>
      <sheetData sheetId="5">
        <row r="11">
          <cell r="C11">
            <v>12</v>
          </cell>
        </row>
        <row r="13">
          <cell r="C13">
            <v>6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/>
          <cell r="S114"/>
          <cell r="T114">
            <v>2</v>
          </cell>
          <cell r="U114">
            <v>1</v>
          </cell>
          <cell r="V114"/>
          <cell r="W114"/>
          <cell r="X114"/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30</v>
          </cell>
        </row>
        <row r="234">
          <cell r="C234">
            <v>4</v>
          </cell>
        </row>
        <row r="241">
          <cell r="AN241"/>
          <cell r="AO241"/>
          <cell r="AP241"/>
        </row>
      </sheetData>
      <sheetData sheetId="6">
        <row r="12">
          <cell r="C12">
            <v>116</v>
          </cell>
        </row>
        <row r="22">
          <cell r="C22">
            <v>446</v>
          </cell>
        </row>
        <row r="23">
          <cell r="C23">
            <v>1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15</v>
          </cell>
        </row>
        <row r="121">
          <cell r="AE121"/>
          <cell r="AF121"/>
        </row>
        <row r="122">
          <cell r="AF122">
            <v>14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302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3</v>
          </cell>
          <cell r="K12">
            <v>0</v>
          </cell>
          <cell r="L12">
            <v>0</v>
          </cell>
          <cell r="M12">
            <v>3</v>
          </cell>
          <cell r="N12">
            <v>0</v>
          </cell>
          <cell r="O12">
            <v>8</v>
          </cell>
          <cell r="P12">
            <v>5</v>
          </cell>
          <cell r="Q12">
            <v>3</v>
          </cell>
          <cell r="R12">
            <v>3</v>
          </cell>
          <cell r="S12">
            <v>15</v>
          </cell>
          <cell r="T12">
            <v>8</v>
          </cell>
          <cell r="U12">
            <v>7</v>
          </cell>
          <cell r="V12">
            <v>5</v>
          </cell>
          <cell r="W12">
            <v>10</v>
          </cell>
          <cell r="X12">
            <v>23</v>
          </cell>
          <cell r="Y12">
            <v>11</v>
          </cell>
          <cell r="Z12">
            <v>13</v>
          </cell>
          <cell r="AA12">
            <v>4</v>
          </cell>
          <cell r="AB12">
            <v>8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7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7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3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13</v>
          </cell>
        </row>
        <row r="44">
          <cell r="C44">
            <v>38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28</v>
          </cell>
        </row>
        <row r="63">
          <cell r="C63">
            <v>0</v>
          </cell>
        </row>
        <row r="74">
          <cell r="C74">
            <v>74</v>
          </cell>
          <cell r="F74">
            <v>14</v>
          </cell>
        </row>
      </sheetData>
      <sheetData sheetId="2">
        <row r="21">
          <cell r="G21">
            <v>6</v>
          </cell>
          <cell r="H21">
            <v>6</v>
          </cell>
          <cell r="I21">
            <v>4</v>
          </cell>
          <cell r="J21">
            <v>11</v>
          </cell>
          <cell r="K21">
            <v>5</v>
          </cell>
          <cell r="L21">
            <v>12</v>
          </cell>
          <cell r="M21">
            <v>3</v>
          </cell>
          <cell r="N21">
            <v>3</v>
          </cell>
          <cell r="O21">
            <v>4</v>
          </cell>
          <cell r="P21">
            <v>7</v>
          </cell>
          <cell r="Q21">
            <v>5</v>
          </cell>
          <cell r="R21">
            <v>6</v>
          </cell>
          <cell r="S21">
            <v>7</v>
          </cell>
          <cell r="T21">
            <v>3</v>
          </cell>
          <cell r="U21">
            <v>1</v>
          </cell>
          <cell r="V21">
            <v>7</v>
          </cell>
          <cell r="W21">
            <v>3</v>
          </cell>
          <cell r="X21">
            <v>5</v>
          </cell>
          <cell r="Y21">
            <v>11</v>
          </cell>
          <cell r="Z21">
            <v>16</v>
          </cell>
          <cell r="AA21">
            <v>13</v>
          </cell>
          <cell r="AB21">
            <v>15</v>
          </cell>
          <cell r="AC21">
            <v>16</v>
          </cell>
          <cell r="AD21">
            <v>11</v>
          </cell>
          <cell r="AE21">
            <v>9</v>
          </cell>
          <cell r="AF21">
            <v>8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5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2</v>
          </cell>
        </row>
      </sheetData>
      <sheetData sheetId="4">
        <row r="12">
          <cell r="B12">
            <v>1528</v>
          </cell>
        </row>
        <row r="24">
          <cell r="B24">
            <v>90</v>
          </cell>
        </row>
      </sheetData>
      <sheetData sheetId="5">
        <row r="11">
          <cell r="C11">
            <v>16</v>
          </cell>
        </row>
        <row r="13">
          <cell r="C13">
            <v>14</v>
          </cell>
        </row>
        <row r="114">
          <cell r="H114"/>
          <cell r="I114">
            <v>1</v>
          </cell>
          <cell r="J114">
            <v>1</v>
          </cell>
          <cell r="K114"/>
          <cell r="L114"/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R114">
            <v>3</v>
          </cell>
          <cell r="S114">
            <v>3</v>
          </cell>
          <cell r="T114">
            <v>1</v>
          </cell>
          <cell r="U114">
            <v>1</v>
          </cell>
          <cell r="V114">
            <v>3</v>
          </cell>
          <cell r="W114">
            <v>1</v>
          </cell>
          <cell r="X114"/>
          <cell r="Y114">
            <v>2</v>
          </cell>
        </row>
        <row r="127">
          <cell r="H127"/>
          <cell r="I127"/>
          <cell r="J127">
            <v>1</v>
          </cell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/>
          <cell r="T127">
            <v>2</v>
          </cell>
          <cell r="U127"/>
          <cell r="V127"/>
          <cell r="W127"/>
          <cell r="X127">
            <v>1</v>
          </cell>
          <cell r="Y127"/>
        </row>
        <row r="186">
          <cell r="C186">
            <v>56</v>
          </cell>
        </row>
        <row r="234">
          <cell r="C234">
            <v>3</v>
          </cell>
        </row>
        <row r="241">
          <cell r="AN241">
            <v>0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160</v>
          </cell>
        </row>
        <row r="22">
          <cell r="C22">
            <v>452</v>
          </cell>
        </row>
        <row r="23">
          <cell r="C23">
            <v>3</v>
          </cell>
        </row>
        <row r="32">
          <cell r="E32">
            <v>0</v>
          </cell>
        </row>
      </sheetData>
      <sheetData sheetId="7">
        <row r="120">
          <cell r="AE120"/>
          <cell r="AF120">
            <v>7</v>
          </cell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8</v>
          </cell>
          <cell r="AF136">
            <v>393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2</v>
          </cell>
          <cell r="N12">
            <v>1</v>
          </cell>
          <cell r="O12">
            <v>6</v>
          </cell>
          <cell r="P12">
            <v>2</v>
          </cell>
          <cell r="Q12">
            <v>3</v>
          </cell>
          <cell r="R12">
            <v>4</v>
          </cell>
          <cell r="S12">
            <v>15</v>
          </cell>
          <cell r="T12">
            <v>6</v>
          </cell>
          <cell r="U12">
            <v>17</v>
          </cell>
          <cell r="V12">
            <v>3</v>
          </cell>
          <cell r="W12">
            <v>9</v>
          </cell>
          <cell r="X12">
            <v>13</v>
          </cell>
          <cell r="Y12">
            <v>13</v>
          </cell>
          <cell r="Z12">
            <v>6</v>
          </cell>
          <cell r="AA12">
            <v>2</v>
          </cell>
          <cell r="AB12">
            <v>6</v>
          </cell>
        </row>
        <row r="48">
          <cell r="G48">
            <v>1</v>
          </cell>
          <cell r="H48">
            <v>3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9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3</v>
          </cell>
          <cell r="D41">
            <v>3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148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59</v>
          </cell>
        </row>
        <row r="63">
          <cell r="C63">
            <v>0</v>
          </cell>
        </row>
        <row r="74">
          <cell r="C74">
            <v>28</v>
          </cell>
          <cell r="F74">
            <v>8</v>
          </cell>
        </row>
      </sheetData>
      <sheetData sheetId="2">
        <row r="21">
          <cell r="G21">
            <v>3</v>
          </cell>
          <cell r="H21">
            <v>1</v>
          </cell>
          <cell r="I21">
            <v>3</v>
          </cell>
          <cell r="J21">
            <v>5</v>
          </cell>
          <cell r="K21">
            <v>1</v>
          </cell>
          <cell r="L21">
            <v>4</v>
          </cell>
          <cell r="M21">
            <v>0</v>
          </cell>
          <cell r="N21">
            <v>3</v>
          </cell>
          <cell r="O21">
            <v>2</v>
          </cell>
          <cell r="P21">
            <v>6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6</v>
          </cell>
          <cell r="Z21">
            <v>10</v>
          </cell>
          <cell r="AA21">
            <v>6</v>
          </cell>
          <cell r="AB21">
            <v>12</v>
          </cell>
          <cell r="AC21">
            <v>7</v>
          </cell>
          <cell r="AD21">
            <v>11</v>
          </cell>
          <cell r="AE21">
            <v>15</v>
          </cell>
          <cell r="AF21">
            <v>13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1363</v>
          </cell>
        </row>
        <row r="24">
          <cell r="B24">
            <v>80</v>
          </cell>
        </row>
      </sheetData>
      <sheetData sheetId="5">
        <row r="11">
          <cell r="C11">
            <v>10</v>
          </cell>
        </row>
        <row r="13">
          <cell r="C13">
            <v>8</v>
          </cell>
        </row>
        <row r="114">
          <cell r="H114">
            <v>1</v>
          </cell>
          <cell r="I114"/>
          <cell r="J114"/>
          <cell r="K114">
            <v>3</v>
          </cell>
          <cell r="L114">
            <v>3</v>
          </cell>
          <cell r="M114"/>
          <cell r="N114">
            <v>1</v>
          </cell>
          <cell r="O114"/>
          <cell r="P114">
            <v>1</v>
          </cell>
          <cell r="Q114">
            <v>1</v>
          </cell>
          <cell r="R114"/>
          <cell r="S114">
            <v>1</v>
          </cell>
          <cell r="T114">
            <v>1</v>
          </cell>
          <cell r="U114">
            <v>1</v>
          </cell>
          <cell r="V114">
            <v>1</v>
          </cell>
          <cell r="W114">
            <v>3</v>
          </cell>
          <cell r="X114">
            <v>1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>
            <v>2</v>
          </cell>
          <cell r="U127">
            <v>1</v>
          </cell>
          <cell r="V127">
            <v>1</v>
          </cell>
          <cell r="W127"/>
          <cell r="X127">
            <v>1</v>
          </cell>
          <cell r="Y127"/>
        </row>
        <row r="186">
          <cell r="C186">
            <v>52</v>
          </cell>
        </row>
        <row r="234">
          <cell r="C234">
            <v>7</v>
          </cell>
        </row>
        <row r="241">
          <cell r="AN241">
            <v>0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153</v>
          </cell>
        </row>
        <row r="22">
          <cell r="C22">
            <v>473</v>
          </cell>
        </row>
        <row r="23">
          <cell r="C23">
            <v>49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16</v>
          </cell>
        </row>
        <row r="121">
          <cell r="AE121"/>
          <cell r="AF121"/>
        </row>
        <row r="122">
          <cell r="AF122">
            <v>22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16</v>
          </cell>
          <cell r="AF136">
            <v>362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</v>
          </cell>
          <cell r="O12">
            <v>5</v>
          </cell>
          <cell r="P12">
            <v>11</v>
          </cell>
          <cell r="Q12">
            <v>2</v>
          </cell>
          <cell r="R12">
            <v>4</v>
          </cell>
          <cell r="S12">
            <v>13</v>
          </cell>
          <cell r="T12">
            <v>7</v>
          </cell>
          <cell r="U12">
            <v>11</v>
          </cell>
          <cell r="V12">
            <v>3</v>
          </cell>
          <cell r="W12">
            <v>9</v>
          </cell>
          <cell r="X12">
            <v>8</v>
          </cell>
          <cell r="Y12">
            <v>14</v>
          </cell>
          <cell r="Z12">
            <v>10</v>
          </cell>
          <cell r="AA12">
            <v>7</v>
          </cell>
          <cell r="AB12">
            <v>9</v>
          </cell>
        </row>
        <row r="48">
          <cell r="G48">
            <v>7</v>
          </cell>
          <cell r="H48">
            <v>2</v>
          </cell>
          <cell r="I48">
            <v>3</v>
          </cell>
          <cell r="J48">
            <v>2</v>
          </cell>
          <cell r="K48">
            <v>3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82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>
            <v>1</v>
          </cell>
          <cell r="E38"/>
        </row>
        <row r="40">
          <cell r="C40"/>
          <cell r="D40"/>
          <cell r="E40"/>
        </row>
        <row r="41">
          <cell r="C41">
            <v>1</v>
          </cell>
          <cell r="D41">
            <v>2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55</v>
          </cell>
        </row>
        <row r="44">
          <cell r="C44">
            <v>160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65</v>
          </cell>
        </row>
        <row r="63">
          <cell r="C63">
            <v>0</v>
          </cell>
        </row>
        <row r="74">
          <cell r="C74">
            <v>41</v>
          </cell>
          <cell r="F74">
            <v>5</v>
          </cell>
        </row>
      </sheetData>
      <sheetData sheetId="2">
        <row r="21">
          <cell r="G21">
            <v>1</v>
          </cell>
          <cell r="H21">
            <v>6</v>
          </cell>
          <cell r="I21">
            <v>3</v>
          </cell>
          <cell r="J21">
            <v>2</v>
          </cell>
          <cell r="K21">
            <v>5</v>
          </cell>
          <cell r="L21">
            <v>2</v>
          </cell>
          <cell r="M21">
            <v>1</v>
          </cell>
          <cell r="N21">
            <v>5</v>
          </cell>
          <cell r="O21">
            <v>2</v>
          </cell>
          <cell r="P21">
            <v>4</v>
          </cell>
          <cell r="Q21">
            <v>1</v>
          </cell>
          <cell r="R21">
            <v>2</v>
          </cell>
          <cell r="S21">
            <v>3</v>
          </cell>
          <cell r="T21">
            <v>2</v>
          </cell>
          <cell r="U21">
            <v>2</v>
          </cell>
          <cell r="V21">
            <v>0</v>
          </cell>
          <cell r="W21">
            <v>2</v>
          </cell>
          <cell r="X21">
            <v>0</v>
          </cell>
          <cell r="Y21">
            <v>3</v>
          </cell>
          <cell r="Z21">
            <v>9</v>
          </cell>
          <cell r="AA21">
            <v>6</v>
          </cell>
          <cell r="AB21">
            <v>12</v>
          </cell>
          <cell r="AC21">
            <v>5</v>
          </cell>
          <cell r="AD21">
            <v>3</v>
          </cell>
          <cell r="AE21">
            <v>8</v>
          </cell>
          <cell r="AF21">
            <v>15</v>
          </cell>
        </row>
      </sheetData>
      <sheetData sheetId="3">
        <row r="21">
          <cell r="J21">
            <v>1</v>
          </cell>
          <cell r="K21">
            <v>0</v>
          </cell>
          <cell r="L21">
            <v>8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1338</v>
          </cell>
        </row>
        <row r="24">
          <cell r="B24">
            <v>90</v>
          </cell>
        </row>
      </sheetData>
      <sheetData sheetId="5">
        <row r="11">
          <cell r="C11">
            <v>20</v>
          </cell>
        </row>
        <row r="13">
          <cell r="C13">
            <v>20</v>
          </cell>
        </row>
        <row r="114">
          <cell r="H114"/>
          <cell r="I114">
            <v>1</v>
          </cell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>
            <v>1</v>
          </cell>
          <cell r="U114">
            <v>2</v>
          </cell>
          <cell r="V114">
            <v>3</v>
          </cell>
          <cell r="W114">
            <v>2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>
            <v>1</v>
          </cell>
          <cell r="R127"/>
          <cell r="S127"/>
          <cell r="T127"/>
          <cell r="U127"/>
          <cell r="V127">
            <v>2</v>
          </cell>
          <cell r="W127"/>
          <cell r="X127">
            <v>1</v>
          </cell>
          <cell r="Y127">
            <v>1</v>
          </cell>
        </row>
        <row r="186">
          <cell r="C186">
            <v>64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203</v>
          </cell>
        </row>
        <row r="22">
          <cell r="C22">
            <v>569</v>
          </cell>
        </row>
        <row r="23">
          <cell r="C23">
            <v>44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10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248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1</v>
          </cell>
          <cell r="M12">
            <v>3</v>
          </cell>
          <cell r="N12">
            <v>0</v>
          </cell>
          <cell r="O12">
            <v>3</v>
          </cell>
          <cell r="P12">
            <v>11</v>
          </cell>
          <cell r="Q12">
            <v>2</v>
          </cell>
          <cell r="R12">
            <v>0</v>
          </cell>
          <cell r="S12">
            <v>7</v>
          </cell>
          <cell r="T12">
            <v>8</v>
          </cell>
          <cell r="U12">
            <v>8</v>
          </cell>
          <cell r="V12">
            <v>2</v>
          </cell>
          <cell r="W12">
            <v>10</v>
          </cell>
          <cell r="X12">
            <v>16</v>
          </cell>
          <cell r="Y12">
            <v>9</v>
          </cell>
          <cell r="Z12">
            <v>13</v>
          </cell>
          <cell r="AA12">
            <v>7</v>
          </cell>
          <cell r="AB12">
            <v>8</v>
          </cell>
        </row>
        <row r="48">
          <cell r="G48">
            <v>7</v>
          </cell>
          <cell r="H48">
            <v>2</v>
          </cell>
          <cell r="I48">
            <v>2</v>
          </cell>
          <cell r="J48">
            <v>0</v>
          </cell>
          <cell r="K48">
            <v>3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>
            <v>1</v>
          </cell>
          <cell r="E40"/>
        </row>
        <row r="41">
          <cell r="C41"/>
          <cell r="D41">
            <v>5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25</v>
          </cell>
        </row>
        <row r="44">
          <cell r="C44">
            <v>148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104</v>
          </cell>
        </row>
        <row r="63">
          <cell r="C63">
            <v>0</v>
          </cell>
        </row>
        <row r="74">
          <cell r="C74">
            <v>42</v>
          </cell>
          <cell r="F74">
            <v>4</v>
          </cell>
        </row>
      </sheetData>
      <sheetData sheetId="2">
        <row r="21">
          <cell r="G21">
            <v>1</v>
          </cell>
          <cell r="H21">
            <v>4</v>
          </cell>
          <cell r="I21">
            <v>5</v>
          </cell>
          <cell r="J21">
            <v>5</v>
          </cell>
          <cell r="K21">
            <v>3</v>
          </cell>
          <cell r="L21">
            <v>3</v>
          </cell>
          <cell r="M21">
            <v>1</v>
          </cell>
          <cell r="N21">
            <v>4</v>
          </cell>
          <cell r="O21">
            <v>0</v>
          </cell>
          <cell r="P21">
            <v>2</v>
          </cell>
          <cell r="Q21">
            <v>2</v>
          </cell>
          <cell r="R21">
            <v>1</v>
          </cell>
          <cell r="S21">
            <v>1</v>
          </cell>
          <cell r="T21">
            <v>6</v>
          </cell>
          <cell r="U21">
            <v>1</v>
          </cell>
          <cell r="V21">
            <v>3</v>
          </cell>
          <cell r="W21">
            <v>5</v>
          </cell>
          <cell r="X21">
            <v>5</v>
          </cell>
          <cell r="Y21">
            <v>15</v>
          </cell>
          <cell r="Z21">
            <v>17</v>
          </cell>
          <cell r="AA21">
            <v>15</v>
          </cell>
          <cell r="AB21">
            <v>22</v>
          </cell>
          <cell r="AC21">
            <v>9</v>
          </cell>
          <cell r="AD21">
            <v>14</v>
          </cell>
          <cell r="AE21">
            <v>19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2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1</v>
          </cell>
        </row>
        <row r="24">
          <cell r="J24">
            <v>0</v>
          </cell>
          <cell r="K24">
            <v>1</v>
          </cell>
          <cell r="L24">
            <v>2</v>
          </cell>
          <cell r="M24">
            <v>1</v>
          </cell>
        </row>
      </sheetData>
      <sheetData sheetId="4">
        <row r="12">
          <cell r="B12">
            <v>1098</v>
          </cell>
        </row>
        <row r="24">
          <cell r="B24">
            <v>79</v>
          </cell>
        </row>
      </sheetData>
      <sheetData sheetId="5">
        <row r="11">
          <cell r="C11">
            <v>16</v>
          </cell>
        </row>
        <row r="13">
          <cell r="C13">
            <v>13</v>
          </cell>
        </row>
        <row r="114">
          <cell r="H114"/>
          <cell r="I114"/>
          <cell r="J114">
            <v>1</v>
          </cell>
          <cell r="K114"/>
          <cell r="L114"/>
          <cell r="M114"/>
          <cell r="N114"/>
          <cell r="O114"/>
          <cell r="P114">
            <v>1</v>
          </cell>
          <cell r="Q114">
            <v>2</v>
          </cell>
          <cell r="R114"/>
          <cell r="S114">
            <v>1</v>
          </cell>
          <cell r="T114"/>
          <cell r="U114"/>
          <cell r="V114"/>
          <cell r="W114">
            <v>3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>
            <v>1</v>
          </cell>
          <cell r="U127"/>
          <cell r="V127"/>
          <cell r="W127"/>
          <cell r="X127"/>
          <cell r="Y127"/>
        </row>
        <row r="186">
          <cell r="C186">
            <v>64</v>
          </cell>
        </row>
        <row r="234">
          <cell r="C234">
            <v>10</v>
          </cell>
        </row>
        <row r="241">
          <cell r="AN241">
            <v>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133</v>
          </cell>
        </row>
        <row r="22">
          <cell r="C22">
            <v>507</v>
          </cell>
        </row>
        <row r="23">
          <cell r="C23">
            <v>48</v>
          </cell>
        </row>
        <row r="32">
          <cell r="E32">
            <v>0</v>
          </cell>
        </row>
      </sheetData>
      <sheetData sheetId="7">
        <row r="120">
          <cell r="AE120"/>
          <cell r="AF120">
            <v>4</v>
          </cell>
        </row>
        <row r="121">
          <cell r="AE121"/>
          <cell r="AF121"/>
        </row>
        <row r="122">
          <cell r="AF122">
            <v>16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249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0</v>
          </cell>
          <cell r="N12">
            <v>2</v>
          </cell>
          <cell r="O12">
            <v>10</v>
          </cell>
          <cell r="P12">
            <v>13</v>
          </cell>
          <cell r="Q12">
            <v>2</v>
          </cell>
          <cell r="R12">
            <v>3</v>
          </cell>
          <cell r="S12">
            <v>8</v>
          </cell>
          <cell r="T12">
            <v>4</v>
          </cell>
          <cell r="U12">
            <v>13</v>
          </cell>
          <cell r="V12">
            <v>7</v>
          </cell>
          <cell r="W12">
            <v>16</v>
          </cell>
          <cell r="X12">
            <v>5</v>
          </cell>
          <cell r="Y12">
            <v>12</v>
          </cell>
          <cell r="Z12">
            <v>14</v>
          </cell>
          <cell r="AA12">
            <v>3</v>
          </cell>
          <cell r="AB12">
            <v>12</v>
          </cell>
        </row>
        <row r="48">
          <cell r="G48">
            <v>6</v>
          </cell>
          <cell r="H48">
            <v>5</v>
          </cell>
          <cell r="I48">
            <v>4</v>
          </cell>
          <cell r="J48">
            <v>0</v>
          </cell>
          <cell r="K48">
            <v>4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>
            <v>1</v>
          </cell>
          <cell r="E40"/>
        </row>
        <row r="41">
          <cell r="C41">
            <v>3</v>
          </cell>
          <cell r="D41">
            <v>3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82</v>
          </cell>
        </row>
        <row r="63">
          <cell r="C63">
            <v>0</v>
          </cell>
        </row>
        <row r="74">
          <cell r="C74">
            <v>64</v>
          </cell>
          <cell r="F74">
            <v>12</v>
          </cell>
        </row>
      </sheetData>
      <sheetData sheetId="2">
        <row r="21">
          <cell r="G21">
            <v>16</v>
          </cell>
          <cell r="H21">
            <v>7</v>
          </cell>
          <cell r="I21">
            <v>3</v>
          </cell>
          <cell r="J21">
            <v>0</v>
          </cell>
          <cell r="K21">
            <v>2</v>
          </cell>
          <cell r="L21">
            <v>3</v>
          </cell>
          <cell r="M21">
            <v>2</v>
          </cell>
          <cell r="N21">
            <v>2</v>
          </cell>
          <cell r="O21">
            <v>1</v>
          </cell>
          <cell r="P21">
            <v>3</v>
          </cell>
          <cell r="Q21">
            <v>2</v>
          </cell>
          <cell r="R21">
            <v>1</v>
          </cell>
          <cell r="S21">
            <v>1</v>
          </cell>
          <cell r="T21">
            <v>4</v>
          </cell>
          <cell r="U21">
            <v>1</v>
          </cell>
          <cell r="V21">
            <v>5</v>
          </cell>
          <cell r="W21">
            <v>7</v>
          </cell>
          <cell r="X21">
            <v>9</v>
          </cell>
          <cell r="Y21">
            <v>8</v>
          </cell>
          <cell r="Z21">
            <v>17</v>
          </cell>
          <cell r="AA21">
            <v>6</v>
          </cell>
          <cell r="AB21">
            <v>11</v>
          </cell>
          <cell r="AC21">
            <v>4</v>
          </cell>
          <cell r="AD21">
            <v>7</v>
          </cell>
          <cell r="AE21">
            <v>7</v>
          </cell>
          <cell r="AF21">
            <v>12</v>
          </cell>
        </row>
      </sheetData>
      <sheetData sheetId="3">
        <row r="21">
          <cell r="J21">
            <v>1</v>
          </cell>
          <cell r="K21">
            <v>0</v>
          </cell>
          <cell r="L21">
            <v>2</v>
          </cell>
          <cell r="M21">
            <v>8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1199</v>
          </cell>
        </row>
        <row r="24">
          <cell r="B24">
            <v>76</v>
          </cell>
        </row>
      </sheetData>
      <sheetData sheetId="5">
        <row r="11">
          <cell r="C11">
            <v>18</v>
          </cell>
        </row>
        <row r="13">
          <cell r="C13">
            <v>17</v>
          </cell>
        </row>
        <row r="114">
          <cell r="H114"/>
          <cell r="I114"/>
          <cell r="J114"/>
          <cell r="K114"/>
          <cell r="L114">
            <v>2</v>
          </cell>
          <cell r="M114">
            <v>1</v>
          </cell>
          <cell r="N114">
            <v>1</v>
          </cell>
          <cell r="O114">
            <v>1</v>
          </cell>
          <cell r="P114">
            <v>2</v>
          </cell>
          <cell r="Q114"/>
          <cell r="R114">
            <v>1</v>
          </cell>
          <cell r="S114"/>
          <cell r="T114">
            <v>3</v>
          </cell>
          <cell r="U114">
            <v>2</v>
          </cell>
          <cell r="V114">
            <v>5</v>
          </cell>
          <cell r="W114">
            <v>1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>
            <v>1</v>
          </cell>
          <cell r="O127"/>
          <cell r="P127"/>
          <cell r="Q127"/>
          <cell r="R127">
            <v>1</v>
          </cell>
          <cell r="S127"/>
          <cell r="T127"/>
          <cell r="U127"/>
          <cell r="V127">
            <v>2</v>
          </cell>
          <cell r="W127"/>
          <cell r="X127">
            <v>2</v>
          </cell>
          <cell r="Y127"/>
        </row>
        <row r="186">
          <cell r="C186">
            <v>41</v>
          </cell>
        </row>
        <row r="234">
          <cell r="C234">
            <v>27</v>
          </cell>
        </row>
        <row r="241">
          <cell r="AN241">
            <v>21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124</v>
          </cell>
        </row>
        <row r="22">
          <cell r="C22">
            <v>518</v>
          </cell>
        </row>
        <row r="23">
          <cell r="C23">
            <v>57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17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>
            <v>1</v>
          </cell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23</v>
          </cell>
          <cell r="AF136">
            <v>265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0</v>
          </cell>
          <cell r="K12">
            <v>0</v>
          </cell>
          <cell r="L12">
            <v>1</v>
          </cell>
          <cell r="M12">
            <v>5</v>
          </cell>
          <cell r="N12">
            <v>0</v>
          </cell>
          <cell r="O12">
            <v>3</v>
          </cell>
          <cell r="P12">
            <v>4</v>
          </cell>
          <cell r="Q12">
            <v>3</v>
          </cell>
          <cell r="R12">
            <v>8</v>
          </cell>
          <cell r="S12">
            <v>13</v>
          </cell>
          <cell r="T12">
            <v>2</v>
          </cell>
          <cell r="U12">
            <v>16</v>
          </cell>
          <cell r="V12">
            <v>8</v>
          </cell>
          <cell r="W12">
            <v>7</v>
          </cell>
          <cell r="X12">
            <v>16</v>
          </cell>
          <cell r="Y12">
            <v>16</v>
          </cell>
          <cell r="Z12">
            <v>13</v>
          </cell>
          <cell r="AA12">
            <v>8</v>
          </cell>
          <cell r="AB12">
            <v>11</v>
          </cell>
        </row>
        <row r="48">
          <cell r="G48">
            <v>3</v>
          </cell>
          <cell r="H48">
            <v>6</v>
          </cell>
          <cell r="I48">
            <v>1</v>
          </cell>
          <cell r="J48">
            <v>4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27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3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188</v>
          </cell>
        </row>
        <row r="63">
          <cell r="C63">
            <v>0</v>
          </cell>
        </row>
        <row r="74">
          <cell r="C74">
            <v>37</v>
          </cell>
          <cell r="F74">
            <v>10</v>
          </cell>
        </row>
      </sheetData>
      <sheetData sheetId="2">
        <row r="21">
          <cell r="G21">
            <v>2</v>
          </cell>
          <cell r="H21">
            <v>19</v>
          </cell>
          <cell r="I21">
            <v>8</v>
          </cell>
          <cell r="J21">
            <v>10</v>
          </cell>
          <cell r="K21">
            <v>2</v>
          </cell>
          <cell r="L21">
            <v>10</v>
          </cell>
          <cell r="M21">
            <v>6</v>
          </cell>
          <cell r="N21">
            <v>14</v>
          </cell>
          <cell r="O21">
            <v>1</v>
          </cell>
          <cell r="P21">
            <v>12</v>
          </cell>
          <cell r="Q21">
            <v>2</v>
          </cell>
          <cell r="R21">
            <v>10</v>
          </cell>
          <cell r="S21">
            <v>2</v>
          </cell>
          <cell r="T21">
            <v>9</v>
          </cell>
          <cell r="U21">
            <v>4</v>
          </cell>
          <cell r="V21">
            <v>8</v>
          </cell>
          <cell r="W21">
            <v>1</v>
          </cell>
          <cell r="X21">
            <v>10</v>
          </cell>
          <cell r="Y21">
            <v>22</v>
          </cell>
          <cell r="Z21">
            <v>34</v>
          </cell>
          <cell r="AA21">
            <v>17</v>
          </cell>
          <cell r="AB21">
            <v>25</v>
          </cell>
          <cell r="AC21">
            <v>24</v>
          </cell>
          <cell r="AD21">
            <v>31</v>
          </cell>
          <cell r="AE21">
            <v>19</v>
          </cell>
          <cell r="AF21">
            <v>28</v>
          </cell>
        </row>
      </sheetData>
      <sheetData sheetId="3">
        <row r="21">
          <cell r="J21"/>
          <cell r="K21"/>
          <cell r="L21">
            <v>3</v>
          </cell>
          <cell r="M21">
            <v>4</v>
          </cell>
        </row>
        <row r="22">
          <cell r="J22"/>
          <cell r="K22"/>
          <cell r="L22">
            <v>1</v>
          </cell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1445</v>
          </cell>
        </row>
        <row r="24">
          <cell r="B24">
            <v>52</v>
          </cell>
        </row>
      </sheetData>
      <sheetData sheetId="5">
        <row r="11">
          <cell r="C11">
            <v>20</v>
          </cell>
        </row>
        <row r="13">
          <cell r="C13">
            <v>19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</v>
          </cell>
          <cell r="M114">
            <v>2</v>
          </cell>
          <cell r="N114">
            <v>0</v>
          </cell>
          <cell r="O114">
            <v>2</v>
          </cell>
          <cell r="P114">
            <v>1</v>
          </cell>
          <cell r="Q114">
            <v>2</v>
          </cell>
          <cell r="R114">
            <v>1</v>
          </cell>
          <cell r="S114">
            <v>4</v>
          </cell>
          <cell r="T114">
            <v>4</v>
          </cell>
          <cell r="U114">
            <v>5</v>
          </cell>
          <cell r="V114">
            <v>4</v>
          </cell>
          <cell r="W114">
            <v>6</v>
          </cell>
          <cell r="X114">
            <v>3</v>
          </cell>
          <cell r="Y114">
            <v>5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88</v>
          </cell>
        </row>
        <row r="234">
          <cell r="C234">
            <v>21</v>
          </cell>
        </row>
        <row r="241">
          <cell r="AN241">
            <v>19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244</v>
          </cell>
        </row>
        <row r="22">
          <cell r="C22">
            <v>923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12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>
            <v>1</v>
          </cell>
          <cell r="J12"/>
          <cell r="K12">
            <v>2</v>
          </cell>
          <cell r="L12"/>
          <cell r="M12"/>
          <cell r="N12">
            <v>2</v>
          </cell>
          <cell r="O12">
            <v>1</v>
          </cell>
          <cell r="P12">
            <v>4</v>
          </cell>
          <cell r="Q12"/>
          <cell r="R12">
            <v>4</v>
          </cell>
          <cell r="S12">
            <v>11</v>
          </cell>
          <cell r="T12">
            <v>8</v>
          </cell>
          <cell r="U12">
            <v>5</v>
          </cell>
          <cell r="V12">
            <v>10</v>
          </cell>
          <cell r="W12">
            <v>20</v>
          </cell>
          <cell r="X12">
            <v>7</v>
          </cell>
          <cell r="Y12">
            <v>22</v>
          </cell>
          <cell r="Z12">
            <v>16</v>
          </cell>
          <cell r="AA12">
            <v>10</v>
          </cell>
          <cell r="AB12">
            <v>15</v>
          </cell>
        </row>
        <row r="48">
          <cell r="G48">
            <v>1</v>
          </cell>
          <cell r="H48">
            <v>5</v>
          </cell>
          <cell r="I48">
            <v>4</v>
          </cell>
          <cell r="J48">
            <v>1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>
            <v>14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7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4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36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2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4</v>
          </cell>
          <cell r="AA21">
            <v>1</v>
          </cell>
          <cell r="AB21">
            <v>1</v>
          </cell>
          <cell r="AC21">
            <v>0</v>
          </cell>
          <cell r="AD21">
            <v>0</v>
          </cell>
          <cell r="AE21">
            <v>3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35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0</v>
          </cell>
          <cell r="AB21">
            <v>0</v>
          </cell>
          <cell r="AC21">
            <v>1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21</v>
          </cell>
        </row>
        <row r="24">
          <cell r="B24">
            <v>8</v>
          </cell>
        </row>
      </sheetData>
      <sheetData sheetId="5">
        <row r="11">
          <cell r="C11">
            <v>1</v>
          </cell>
        </row>
        <row r="13">
          <cell r="C13">
            <v>1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1</v>
          </cell>
          <cell r="AC21">
            <v>0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>
            <v>1</v>
          </cell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24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/>
          <cell r="T114"/>
          <cell r="U114"/>
          <cell r="V114"/>
          <cell r="W114"/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23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>
            <v>1</v>
          </cell>
          <cell r="X12">
            <v>2</v>
          </cell>
          <cell r="Y12"/>
          <cell r="Z12">
            <v>5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2</v>
          </cell>
          <cell r="Z21">
            <v>2</v>
          </cell>
          <cell r="AA21">
            <v>1</v>
          </cell>
          <cell r="AB21">
            <v>0</v>
          </cell>
          <cell r="AC21">
            <v>2</v>
          </cell>
          <cell r="AD21">
            <v>1</v>
          </cell>
          <cell r="AE21">
            <v>1</v>
          </cell>
          <cell r="AF21">
            <v>3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43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>
            <v>2</v>
          </cell>
          <cell r="U12"/>
          <cell r="V12"/>
          <cell r="W12">
            <v>2</v>
          </cell>
          <cell r="X12"/>
          <cell r="Y12"/>
          <cell r="Z12">
            <v>2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4</v>
          </cell>
          <cell r="AC21">
            <v>3</v>
          </cell>
          <cell r="AD21">
            <v>1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32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2</v>
          </cell>
        </row>
        <row r="241">
          <cell r="AN241">
            <v>1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>
            <v>3</v>
          </cell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17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/>
          <cell r="T114">
            <v>1</v>
          </cell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</v>
          </cell>
        </row>
        <row r="22">
          <cell r="C22">
            <v>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>
            <v>2</v>
          </cell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2</v>
          </cell>
          <cell r="Z21">
            <v>4</v>
          </cell>
          <cell r="AA21">
            <v>3</v>
          </cell>
          <cell r="AB21">
            <v>2</v>
          </cell>
          <cell r="AC21">
            <v>3</v>
          </cell>
          <cell r="AD21">
            <v>2</v>
          </cell>
          <cell r="AE21">
            <v>0</v>
          </cell>
          <cell r="AF21">
            <v>3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28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4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21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2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>
            <v>1</v>
          </cell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41</v>
          </cell>
        </row>
        <row r="24">
          <cell r="B24">
            <v>19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</v>
          </cell>
        </row>
        <row r="22">
          <cell r="C22">
            <v>21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>
            <v>3</v>
          </cell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13</v>
          </cell>
        </row>
        <row r="44">
          <cell r="C44">
            <v>585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162</v>
          </cell>
        </row>
        <row r="63">
          <cell r="C63">
            <v>0</v>
          </cell>
        </row>
        <row r="74">
          <cell r="C74">
            <v>19</v>
          </cell>
          <cell r="F74">
            <v>4</v>
          </cell>
        </row>
      </sheetData>
      <sheetData sheetId="2">
        <row r="21">
          <cell r="G21">
            <v>3</v>
          </cell>
          <cell r="H21">
            <v>22</v>
          </cell>
          <cell r="I21">
            <v>5</v>
          </cell>
          <cell r="J21">
            <v>19</v>
          </cell>
          <cell r="K21">
            <v>2</v>
          </cell>
          <cell r="L21">
            <v>14</v>
          </cell>
          <cell r="M21">
            <v>4</v>
          </cell>
          <cell r="N21">
            <v>12</v>
          </cell>
          <cell r="O21">
            <v>4</v>
          </cell>
          <cell r="P21">
            <v>12</v>
          </cell>
          <cell r="Q21">
            <v>1</v>
          </cell>
          <cell r="R21">
            <v>10</v>
          </cell>
          <cell r="S21">
            <v>3</v>
          </cell>
          <cell r="T21">
            <v>11</v>
          </cell>
          <cell r="U21">
            <v>2</v>
          </cell>
          <cell r="V21">
            <v>3</v>
          </cell>
          <cell r="W21">
            <v>2</v>
          </cell>
          <cell r="X21">
            <v>7</v>
          </cell>
          <cell r="Y21">
            <v>20</v>
          </cell>
          <cell r="Z21">
            <v>31</v>
          </cell>
          <cell r="AA21">
            <v>21</v>
          </cell>
          <cell r="AB21">
            <v>29</v>
          </cell>
          <cell r="AC21">
            <v>22</v>
          </cell>
          <cell r="AD21">
            <v>23</v>
          </cell>
          <cell r="AE21">
            <v>23</v>
          </cell>
          <cell r="AF21">
            <v>44</v>
          </cell>
        </row>
      </sheetData>
      <sheetData sheetId="3">
        <row r="21">
          <cell r="J21"/>
          <cell r="K21">
            <v>4</v>
          </cell>
          <cell r="L21">
            <v>4</v>
          </cell>
          <cell r="M21">
            <v>3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/>
          <cell r="M23"/>
        </row>
        <row r="24">
          <cell r="J24">
            <v>1</v>
          </cell>
          <cell r="K24"/>
          <cell r="L24">
            <v>3</v>
          </cell>
          <cell r="M24">
            <v>1</v>
          </cell>
        </row>
      </sheetData>
      <sheetData sheetId="4">
        <row r="12">
          <cell r="B12">
            <v>1391</v>
          </cell>
        </row>
        <row r="24">
          <cell r="B24">
            <v>81</v>
          </cell>
        </row>
      </sheetData>
      <sheetData sheetId="5">
        <row r="11">
          <cell r="C11">
            <v>19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2</v>
          </cell>
          <cell r="P114">
            <v>1</v>
          </cell>
          <cell r="Q114">
            <v>2</v>
          </cell>
          <cell r="R114">
            <v>2</v>
          </cell>
          <cell r="S114">
            <v>2</v>
          </cell>
          <cell r="T114">
            <v>4</v>
          </cell>
          <cell r="U114">
            <v>2</v>
          </cell>
          <cell r="V114">
            <v>5</v>
          </cell>
          <cell r="W114">
            <v>4</v>
          </cell>
          <cell r="X114">
            <v>4</v>
          </cell>
          <cell r="Y114">
            <v>12</v>
          </cell>
        </row>
        <row r="127">
          <cell r="H127"/>
          <cell r="I127"/>
          <cell r="J127"/>
          <cell r="K127"/>
          <cell r="L127">
            <v>1</v>
          </cell>
          <cell r="M127"/>
          <cell r="N127"/>
          <cell r="O127"/>
          <cell r="P127"/>
          <cell r="Q127"/>
          <cell r="R127"/>
          <cell r="S127"/>
          <cell r="T127">
            <v>1</v>
          </cell>
          <cell r="U127">
            <v>1</v>
          </cell>
          <cell r="V127">
            <v>1</v>
          </cell>
          <cell r="W127">
            <v>1</v>
          </cell>
          <cell r="X127">
            <v>1</v>
          </cell>
          <cell r="Y127">
            <v>2</v>
          </cell>
        </row>
        <row r="186">
          <cell r="C186">
            <v>79</v>
          </cell>
        </row>
        <row r="234">
          <cell r="C234">
            <v>28</v>
          </cell>
        </row>
        <row r="241">
          <cell r="AN241">
            <v>78</v>
          </cell>
          <cell r="AO241">
            <v>0</v>
          </cell>
          <cell r="AP241">
            <v>5</v>
          </cell>
        </row>
      </sheetData>
      <sheetData sheetId="6">
        <row r="12">
          <cell r="C12">
            <v>319</v>
          </cell>
        </row>
        <row r="22">
          <cell r="C22">
            <v>946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9</v>
          </cell>
          <cell r="AF136">
            <v>74</v>
          </cell>
        </row>
      </sheetData>
      <sheetData sheetId="8"/>
      <sheetData sheetId="9">
        <row r="12">
          <cell r="G12"/>
          <cell r="H12"/>
          <cell r="I12">
            <v>1</v>
          </cell>
          <cell r="J12">
            <v>3</v>
          </cell>
          <cell r="K12">
            <v>3</v>
          </cell>
          <cell r="L12">
            <v>2</v>
          </cell>
          <cell r="M12">
            <v>2</v>
          </cell>
          <cell r="N12">
            <v>3</v>
          </cell>
          <cell r="O12">
            <v>1</v>
          </cell>
          <cell r="P12">
            <v>10</v>
          </cell>
          <cell r="Q12">
            <v>3</v>
          </cell>
          <cell r="R12">
            <v>6</v>
          </cell>
          <cell r="S12">
            <v>10</v>
          </cell>
          <cell r="T12">
            <v>15</v>
          </cell>
          <cell r="U12">
            <v>4</v>
          </cell>
          <cell r="V12">
            <v>10</v>
          </cell>
          <cell r="W12">
            <v>22</v>
          </cell>
          <cell r="X12">
            <v>9</v>
          </cell>
          <cell r="Y12">
            <v>24</v>
          </cell>
          <cell r="Z12">
            <v>17</v>
          </cell>
          <cell r="AA12">
            <v>21</v>
          </cell>
          <cell r="AB12">
            <v>24</v>
          </cell>
        </row>
        <row r="48">
          <cell r="G48">
            <v>5</v>
          </cell>
          <cell r="H48">
            <v>3</v>
          </cell>
          <cell r="I48">
            <v>2</v>
          </cell>
          <cell r="J48">
            <v>2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>
            <v>32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6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10</v>
          </cell>
          <cell r="D38">
            <v>2</v>
          </cell>
          <cell r="E38">
            <v>2</v>
          </cell>
        </row>
        <row r="40">
          <cell r="C40">
            <v>7</v>
          </cell>
          <cell r="D40">
            <v>5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8</v>
          </cell>
        </row>
      </sheetData>
      <sheetData sheetId="27"/>
      <sheetData sheetId="2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2</v>
          </cell>
          <cell r="AA21">
            <v>2</v>
          </cell>
          <cell r="AB21">
            <v>0</v>
          </cell>
          <cell r="AC21">
            <v>1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14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</v>
          </cell>
        </row>
        <row r="22">
          <cell r="C22">
            <v>16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39</v>
          </cell>
        </row>
        <row r="24">
          <cell r="B24">
            <v>8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>
            <v>1</v>
          </cell>
          <cell r="I12">
            <v>2</v>
          </cell>
          <cell r="J12">
            <v>4</v>
          </cell>
          <cell r="K12">
            <v>1</v>
          </cell>
          <cell r="L12"/>
          <cell r="M12">
            <v>1</v>
          </cell>
          <cell r="N12">
            <v>1</v>
          </cell>
          <cell r="O12">
            <v>1</v>
          </cell>
          <cell r="P12">
            <v>3</v>
          </cell>
          <cell r="Q12">
            <v>9</v>
          </cell>
          <cell r="R12">
            <v>10</v>
          </cell>
          <cell r="S12">
            <v>6</v>
          </cell>
          <cell r="T12">
            <v>5</v>
          </cell>
          <cell r="U12">
            <v>7</v>
          </cell>
          <cell r="V12">
            <v>6</v>
          </cell>
          <cell r="W12">
            <v>10</v>
          </cell>
          <cell r="X12">
            <v>29</v>
          </cell>
          <cell r="Y12">
            <v>27</v>
          </cell>
          <cell r="Z12">
            <v>27</v>
          </cell>
          <cell r="AA12">
            <v>47</v>
          </cell>
          <cell r="AB12">
            <v>69</v>
          </cell>
        </row>
        <row r="48">
          <cell r="G48">
            <v>5</v>
          </cell>
          <cell r="H48">
            <v>3</v>
          </cell>
          <cell r="I48">
            <v>2</v>
          </cell>
          <cell r="J48">
            <v>4</v>
          </cell>
          <cell r="K48">
            <v>3</v>
          </cell>
          <cell r="L48">
            <v>8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3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</v>
          </cell>
        </row>
        <row r="44">
          <cell r="C44">
            <v>55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</v>
          </cell>
          <cell r="W21">
            <v>0</v>
          </cell>
          <cell r="X21">
            <v>0</v>
          </cell>
          <cell r="Y21">
            <v>4</v>
          </cell>
          <cell r="Z21">
            <v>5</v>
          </cell>
          <cell r="AA21">
            <v>3</v>
          </cell>
          <cell r="AB21">
            <v>6</v>
          </cell>
          <cell r="AC21">
            <v>4</v>
          </cell>
          <cell r="AD21">
            <v>4</v>
          </cell>
          <cell r="AE21">
            <v>5</v>
          </cell>
          <cell r="AF21">
            <v>16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445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>
            <v>1</v>
          </cell>
          <cell r="Q114">
            <v>1</v>
          </cell>
          <cell r="R114">
            <v>1</v>
          </cell>
          <cell r="S114"/>
          <cell r="T114"/>
          <cell r="U114">
            <v>2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>
            <v>1</v>
          </cell>
          <cell r="Y127">
            <v>1</v>
          </cell>
        </row>
        <row r="186">
          <cell r="C186">
            <v>29</v>
          </cell>
        </row>
        <row r="234">
          <cell r="C234">
            <v>3</v>
          </cell>
        </row>
        <row r="241">
          <cell r="AN241"/>
          <cell r="AO241"/>
          <cell r="AP241"/>
        </row>
      </sheetData>
      <sheetData sheetId="6">
        <row r="12">
          <cell r="C12">
            <v>58</v>
          </cell>
        </row>
        <row r="22">
          <cell r="C22">
            <v>169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4</v>
          </cell>
          <cell r="AF136">
            <v>111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2</v>
          </cell>
          <cell r="Q12">
            <v>3</v>
          </cell>
          <cell r="R12">
            <v>2</v>
          </cell>
          <cell r="S12">
            <v>5</v>
          </cell>
          <cell r="T12">
            <v>2</v>
          </cell>
          <cell r="U12">
            <v>2</v>
          </cell>
          <cell r="V12">
            <v>0</v>
          </cell>
          <cell r="W12">
            <v>0</v>
          </cell>
          <cell r="X12">
            <v>6</v>
          </cell>
          <cell r="Y12">
            <v>3</v>
          </cell>
          <cell r="Z12">
            <v>6</v>
          </cell>
          <cell r="AA12">
            <v>3</v>
          </cell>
          <cell r="AB12">
            <v>6</v>
          </cell>
        </row>
        <row r="48">
          <cell r="G48">
            <v>1</v>
          </cell>
          <cell r="H48">
            <v>1</v>
          </cell>
          <cell r="I48">
            <v>0</v>
          </cell>
          <cell r="J48">
            <v>3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16</v>
          </cell>
        </row>
        <row r="40">
          <cell r="C40"/>
          <cell r="D40"/>
          <cell r="E40">
            <v>9</v>
          </cell>
        </row>
        <row r="41">
          <cell r="C41">
            <v>8</v>
          </cell>
          <cell r="D41">
            <v>1</v>
          </cell>
          <cell r="E41">
            <v>39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84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22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3</v>
          </cell>
          <cell r="Z21">
            <v>4</v>
          </cell>
          <cell r="AA21">
            <v>7</v>
          </cell>
          <cell r="AB21">
            <v>7</v>
          </cell>
          <cell r="AC21">
            <v>5</v>
          </cell>
          <cell r="AD21">
            <v>3</v>
          </cell>
          <cell r="AE21">
            <v>3</v>
          </cell>
          <cell r="AF21">
            <v>11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304</v>
          </cell>
        </row>
        <row r="24">
          <cell r="B24">
            <v>0</v>
          </cell>
        </row>
      </sheetData>
      <sheetData sheetId="5">
        <row r="11">
          <cell r="C11">
            <v>4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>
            <v>1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1</v>
          </cell>
          <cell r="V114"/>
          <cell r="W114">
            <v>3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9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25</v>
          </cell>
        </row>
        <row r="22">
          <cell r="C22">
            <v>54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3</v>
          </cell>
        </row>
        <row r="121">
          <cell r="AE121"/>
          <cell r="AF121"/>
        </row>
        <row r="122">
          <cell r="AF122">
            <v>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46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2</v>
          </cell>
          <cell r="M12">
            <v>0</v>
          </cell>
          <cell r="N12">
            <v>1</v>
          </cell>
          <cell r="O12">
            <v>0</v>
          </cell>
          <cell r="P12">
            <v>6</v>
          </cell>
          <cell r="Q12">
            <v>5</v>
          </cell>
          <cell r="R12">
            <v>3</v>
          </cell>
          <cell r="S12">
            <v>8</v>
          </cell>
          <cell r="T12">
            <v>11</v>
          </cell>
          <cell r="U12">
            <v>6</v>
          </cell>
          <cell r="V12">
            <v>3</v>
          </cell>
          <cell r="W12">
            <v>9</v>
          </cell>
          <cell r="X12">
            <v>10</v>
          </cell>
          <cell r="Y12">
            <v>11</v>
          </cell>
          <cell r="Z12">
            <v>9</v>
          </cell>
          <cell r="AA12">
            <v>4</v>
          </cell>
          <cell r="AB12">
            <v>7</v>
          </cell>
        </row>
        <row r="48">
          <cell r="G48">
            <v>1</v>
          </cell>
          <cell r="H48">
            <v>1</v>
          </cell>
          <cell r="I48">
            <v>2</v>
          </cell>
          <cell r="J48">
            <v>0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12</v>
          </cell>
        </row>
        <row r="40">
          <cell r="C40"/>
          <cell r="D40"/>
          <cell r="E40"/>
        </row>
        <row r="41">
          <cell r="C41">
            <v>2</v>
          </cell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</v>
          </cell>
        </row>
        <row r="44">
          <cell r="C44">
            <v>78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5</v>
          </cell>
          <cell r="F74">
            <v>1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3</v>
          </cell>
          <cell r="Z21">
            <v>4</v>
          </cell>
          <cell r="AA21">
            <v>2</v>
          </cell>
          <cell r="AB21">
            <v>11</v>
          </cell>
          <cell r="AC21">
            <v>2</v>
          </cell>
          <cell r="AD21">
            <v>6</v>
          </cell>
          <cell r="AE21">
            <v>3</v>
          </cell>
          <cell r="AF21">
            <v>11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/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404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>
            <v>1</v>
          </cell>
          <cell r="T114"/>
          <cell r="U114">
            <v>1</v>
          </cell>
          <cell r="V114"/>
          <cell r="W114">
            <v>1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22</v>
          </cell>
        </row>
        <row r="234">
          <cell r="C234">
            <v>2</v>
          </cell>
        </row>
        <row r="241">
          <cell r="AN241"/>
          <cell r="AO241"/>
          <cell r="AP241"/>
        </row>
      </sheetData>
      <sheetData sheetId="6">
        <row r="12">
          <cell r="C12">
            <v>39</v>
          </cell>
        </row>
        <row r="22">
          <cell r="C22">
            <v>159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7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0</v>
          </cell>
          <cell r="P12">
            <v>7</v>
          </cell>
          <cell r="Q12">
            <v>4</v>
          </cell>
          <cell r="R12">
            <v>1</v>
          </cell>
          <cell r="S12">
            <v>3</v>
          </cell>
          <cell r="T12">
            <v>1</v>
          </cell>
          <cell r="U12">
            <v>3</v>
          </cell>
          <cell r="V12">
            <v>0</v>
          </cell>
          <cell r="W12">
            <v>0</v>
          </cell>
          <cell r="X12">
            <v>2</v>
          </cell>
          <cell r="Y12">
            <v>2</v>
          </cell>
          <cell r="Z12">
            <v>1</v>
          </cell>
          <cell r="AA12">
            <v>4</v>
          </cell>
          <cell r="AB12">
            <v>2</v>
          </cell>
        </row>
        <row r="48">
          <cell r="G48">
            <v>0</v>
          </cell>
          <cell r="H48">
            <v>3</v>
          </cell>
          <cell r="I48">
            <v>1</v>
          </cell>
          <cell r="J48">
            <v>0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3</v>
          </cell>
        </row>
        <row r="40">
          <cell r="C40">
            <v>1</v>
          </cell>
          <cell r="D40"/>
          <cell r="E40">
            <v>1</v>
          </cell>
        </row>
        <row r="41">
          <cell r="C41">
            <v>3</v>
          </cell>
          <cell r="D41"/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4</v>
          </cell>
          <cell r="F74">
            <v>1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2</v>
          </cell>
          <cell r="Z21">
            <v>0</v>
          </cell>
          <cell r="AA21">
            <v>2</v>
          </cell>
          <cell r="AB21">
            <v>5</v>
          </cell>
          <cell r="AC21">
            <v>1</v>
          </cell>
          <cell r="AD21">
            <v>7</v>
          </cell>
          <cell r="AE21">
            <v>4</v>
          </cell>
          <cell r="AF21">
            <v>7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557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>
            <v>1</v>
          </cell>
          <cell r="O114"/>
          <cell r="P114">
            <v>1</v>
          </cell>
          <cell r="Q114"/>
          <cell r="R114"/>
          <cell r="S114"/>
          <cell r="T114">
            <v>2</v>
          </cell>
          <cell r="U114"/>
          <cell r="V114">
            <v>4</v>
          </cell>
          <cell r="W114">
            <v>2</v>
          </cell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14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78</v>
          </cell>
        </row>
        <row r="22">
          <cell r="C22">
            <v>170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</v>
          </cell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</v>
          </cell>
          <cell r="AF136">
            <v>49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1</v>
          </cell>
          <cell r="T12">
            <v>0</v>
          </cell>
          <cell r="U12">
            <v>1</v>
          </cell>
          <cell r="V12">
            <v>2</v>
          </cell>
          <cell r="W12">
            <v>4</v>
          </cell>
          <cell r="X12">
            <v>2</v>
          </cell>
          <cell r="Y12">
            <v>3</v>
          </cell>
          <cell r="Z12">
            <v>7</v>
          </cell>
          <cell r="AA12">
            <v>1</v>
          </cell>
          <cell r="AB12">
            <v>2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>
            <v>7</v>
          </cell>
        </row>
        <row r="40">
          <cell r="C40"/>
          <cell r="D40">
            <v>1</v>
          </cell>
          <cell r="E40">
            <v>3</v>
          </cell>
        </row>
        <row r="41">
          <cell r="C41">
            <v>7</v>
          </cell>
          <cell r="D41"/>
          <cell r="E41">
            <v>16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</v>
          </cell>
        </row>
        <row r="44">
          <cell r="C44">
            <v>144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41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</v>
          </cell>
          <cell r="AB21">
            <v>1</v>
          </cell>
          <cell r="AC21">
            <v>0</v>
          </cell>
          <cell r="AD21">
            <v>2</v>
          </cell>
          <cell r="AE21">
            <v>1</v>
          </cell>
          <cell r="AF21">
            <v>2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490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/>
          <cell r="Q114">
            <v>1</v>
          </cell>
          <cell r="R114">
            <v>2</v>
          </cell>
          <cell r="S114"/>
          <cell r="T114">
            <v>2</v>
          </cell>
          <cell r="U114">
            <v>1</v>
          </cell>
          <cell r="V114">
            <v>1</v>
          </cell>
          <cell r="W114"/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60</v>
          </cell>
        </row>
        <row r="22">
          <cell r="C22">
            <v>138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71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4</v>
          </cell>
          <cell r="O12">
            <v>1</v>
          </cell>
          <cell r="P12">
            <v>3</v>
          </cell>
          <cell r="Q12">
            <v>2</v>
          </cell>
          <cell r="R12">
            <v>1</v>
          </cell>
          <cell r="S12">
            <v>1</v>
          </cell>
          <cell r="T12">
            <v>2</v>
          </cell>
          <cell r="U12">
            <v>2</v>
          </cell>
          <cell r="V12">
            <v>5</v>
          </cell>
          <cell r="W12">
            <v>7</v>
          </cell>
          <cell r="X12">
            <v>5</v>
          </cell>
          <cell r="Y12">
            <v>3</v>
          </cell>
          <cell r="Z12">
            <v>4</v>
          </cell>
          <cell r="AA12">
            <v>3</v>
          </cell>
          <cell r="AB12">
            <v>1</v>
          </cell>
        </row>
        <row r="48">
          <cell r="G48">
            <v>2</v>
          </cell>
          <cell r="H48">
            <v>3</v>
          </cell>
          <cell r="I48">
            <v>1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11</v>
          </cell>
        </row>
        <row r="40">
          <cell r="C40"/>
          <cell r="D40"/>
          <cell r="E40">
            <v>2</v>
          </cell>
        </row>
        <row r="41">
          <cell r="C41">
            <v>2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41</v>
          </cell>
        </row>
        <row r="63">
          <cell r="C63">
            <v>0</v>
          </cell>
        </row>
        <row r="74">
          <cell r="C74">
            <v>2</v>
          </cell>
          <cell r="F74">
            <v>0</v>
          </cell>
        </row>
      </sheetData>
      <sheetData sheetId="2">
        <row r="21">
          <cell r="G21">
            <v>0</v>
          </cell>
          <cell r="H21">
            <v>3</v>
          </cell>
          <cell r="I21">
            <v>0</v>
          </cell>
          <cell r="J21">
            <v>5</v>
          </cell>
          <cell r="K21">
            <v>1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1</v>
          </cell>
          <cell r="R21">
            <v>0</v>
          </cell>
          <cell r="S21">
            <v>0</v>
          </cell>
          <cell r="T21">
            <v>2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  <cell r="Y21">
            <v>3</v>
          </cell>
          <cell r="Z21">
            <v>0</v>
          </cell>
          <cell r="AA21">
            <v>5</v>
          </cell>
          <cell r="AB21">
            <v>2</v>
          </cell>
          <cell r="AC21">
            <v>3</v>
          </cell>
          <cell r="AD21">
            <v>7</v>
          </cell>
          <cell r="AE21">
            <v>5</v>
          </cell>
          <cell r="AF21">
            <v>4</v>
          </cell>
        </row>
      </sheetData>
      <sheetData sheetId="3">
        <row r="21">
          <cell r="J21">
            <v>0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397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>
            <v>1</v>
          </cell>
          <cell r="L114"/>
          <cell r="M114">
            <v>2</v>
          </cell>
          <cell r="N114"/>
          <cell r="O114">
            <v>1</v>
          </cell>
          <cell r="P114"/>
          <cell r="Q114"/>
          <cell r="R114"/>
          <cell r="S114"/>
          <cell r="T114">
            <v>1</v>
          </cell>
          <cell r="U114"/>
          <cell r="V114">
            <v>1</v>
          </cell>
          <cell r="W114"/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>
            <v>1</v>
          </cell>
          <cell r="R127"/>
          <cell r="S127"/>
          <cell r="T127"/>
          <cell r="U127">
            <v>1</v>
          </cell>
          <cell r="V127"/>
          <cell r="W127"/>
          <cell r="X127"/>
          <cell r="Y127"/>
        </row>
        <row r="186">
          <cell r="C186">
            <v>16</v>
          </cell>
        </row>
        <row r="234">
          <cell r="C234">
            <v>5</v>
          </cell>
        </row>
        <row r="241">
          <cell r="AN241">
            <v>30</v>
          </cell>
          <cell r="AO241"/>
          <cell r="AP241">
            <v>6</v>
          </cell>
        </row>
      </sheetData>
      <sheetData sheetId="6">
        <row r="12">
          <cell r="C12">
            <v>27</v>
          </cell>
        </row>
        <row r="22">
          <cell r="C22">
            <v>91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4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8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0</v>
          </cell>
          <cell r="T12">
            <v>1</v>
          </cell>
          <cell r="U12">
            <v>1</v>
          </cell>
          <cell r="V12">
            <v>2</v>
          </cell>
          <cell r="W12">
            <v>1</v>
          </cell>
          <cell r="X12">
            <v>3</v>
          </cell>
          <cell r="Y12">
            <v>10</v>
          </cell>
          <cell r="Z12">
            <v>2</v>
          </cell>
          <cell r="AA12">
            <v>0</v>
          </cell>
          <cell r="AB12">
            <v>2</v>
          </cell>
        </row>
        <row r="48">
          <cell r="G48">
            <v>0</v>
          </cell>
          <cell r="H48">
            <v>3</v>
          </cell>
          <cell r="I48">
            <v>5</v>
          </cell>
          <cell r="J48">
            <v>3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1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23</v>
          </cell>
        </row>
        <row r="40">
          <cell r="C40">
            <v>1</v>
          </cell>
          <cell r="D40"/>
          <cell r="E40">
            <v>3</v>
          </cell>
        </row>
        <row r="41">
          <cell r="C41">
            <v>6</v>
          </cell>
          <cell r="D41"/>
          <cell r="E41">
            <v>19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26</v>
          </cell>
        </row>
        <row r="44">
          <cell r="C44">
            <v>633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178</v>
          </cell>
        </row>
        <row r="63">
          <cell r="C63">
            <v>0</v>
          </cell>
        </row>
        <row r="74">
          <cell r="C74">
            <v>13</v>
          </cell>
          <cell r="F74">
            <v>10</v>
          </cell>
        </row>
      </sheetData>
      <sheetData sheetId="2">
        <row r="21">
          <cell r="G21">
            <v>2</v>
          </cell>
          <cell r="H21">
            <v>16</v>
          </cell>
          <cell r="I21">
            <v>6</v>
          </cell>
          <cell r="J21">
            <v>14</v>
          </cell>
          <cell r="K21">
            <v>4</v>
          </cell>
          <cell r="L21">
            <v>12</v>
          </cell>
          <cell r="M21">
            <v>2</v>
          </cell>
          <cell r="N21">
            <v>10</v>
          </cell>
          <cell r="O21">
            <v>5</v>
          </cell>
          <cell r="P21">
            <v>11</v>
          </cell>
          <cell r="Q21">
            <v>3</v>
          </cell>
          <cell r="R21">
            <v>12</v>
          </cell>
          <cell r="S21">
            <v>6</v>
          </cell>
          <cell r="T21">
            <v>12</v>
          </cell>
          <cell r="U21">
            <v>4</v>
          </cell>
          <cell r="V21">
            <v>4</v>
          </cell>
          <cell r="W21">
            <v>6</v>
          </cell>
          <cell r="X21">
            <v>8</v>
          </cell>
          <cell r="Y21">
            <v>30</v>
          </cell>
          <cell r="Z21">
            <v>40</v>
          </cell>
          <cell r="AA21">
            <v>20</v>
          </cell>
          <cell r="AB21">
            <v>43</v>
          </cell>
          <cell r="AC21">
            <v>31</v>
          </cell>
          <cell r="AD21">
            <v>41</v>
          </cell>
          <cell r="AE21">
            <v>29</v>
          </cell>
          <cell r="AF21">
            <v>50</v>
          </cell>
        </row>
      </sheetData>
      <sheetData sheetId="3">
        <row r="21">
          <cell r="J21">
            <v>1</v>
          </cell>
          <cell r="K21">
            <v>1</v>
          </cell>
          <cell r="L21">
            <v>6</v>
          </cell>
          <cell r="M21">
            <v>9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>
            <v>1</v>
          </cell>
          <cell r="L24"/>
          <cell r="M24"/>
        </row>
      </sheetData>
      <sheetData sheetId="4">
        <row r="12">
          <cell r="B12">
            <v>1575</v>
          </cell>
        </row>
        <row r="24">
          <cell r="B24">
            <v>65</v>
          </cell>
        </row>
      </sheetData>
      <sheetData sheetId="5">
        <row r="11">
          <cell r="C11">
            <v>19</v>
          </cell>
        </row>
        <row r="13">
          <cell r="C13">
            <v>19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1</v>
          </cell>
          <cell r="N114">
            <v>1</v>
          </cell>
          <cell r="O114">
            <v>6</v>
          </cell>
          <cell r="P114">
            <v>1</v>
          </cell>
          <cell r="Q114">
            <v>4</v>
          </cell>
          <cell r="R114">
            <v>0</v>
          </cell>
          <cell r="S114">
            <v>3</v>
          </cell>
          <cell r="T114">
            <v>2</v>
          </cell>
          <cell r="U114">
            <v>3</v>
          </cell>
          <cell r="V114">
            <v>5</v>
          </cell>
          <cell r="W114">
            <v>1</v>
          </cell>
          <cell r="X114">
            <v>4</v>
          </cell>
          <cell r="Y114">
            <v>8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>
            <v>1</v>
          </cell>
          <cell r="W127"/>
          <cell r="X127"/>
          <cell r="Y127"/>
        </row>
        <row r="186">
          <cell r="C186">
            <v>77</v>
          </cell>
        </row>
        <row r="234">
          <cell r="C234">
            <v>12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300</v>
          </cell>
        </row>
        <row r="22">
          <cell r="C22">
            <v>972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8</v>
          </cell>
          <cell r="AF136">
            <v>90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>
            <v>2</v>
          </cell>
          <cell r="N12">
            <v>1</v>
          </cell>
          <cell r="O12">
            <v>6</v>
          </cell>
          <cell r="P12">
            <v>9</v>
          </cell>
          <cell r="Q12">
            <v>3</v>
          </cell>
          <cell r="R12">
            <v>6</v>
          </cell>
          <cell r="S12">
            <v>13</v>
          </cell>
          <cell r="T12">
            <v>17</v>
          </cell>
          <cell r="U12">
            <v>7</v>
          </cell>
          <cell r="V12">
            <v>4</v>
          </cell>
          <cell r="W12">
            <v>19</v>
          </cell>
          <cell r="X12">
            <v>13</v>
          </cell>
          <cell r="Y12">
            <v>19</v>
          </cell>
          <cell r="Z12">
            <v>16</v>
          </cell>
          <cell r="AA12">
            <v>24</v>
          </cell>
          <cell r="AB12">
            <v>22</v>
          </cell>
        </row>
        <row r="48">
          <cell r="G48">
            <v>5</v>
          </cell>
          <cell r="H48">
            <v>4</v>
          </cell>
          <cell r="I48">
            <v>5</v>
          </cell>
          <cell r="J48">
            <v>1</v>
          </cell>
          <cell r="K48">
            <v>15</v>
          </cell>
          <cell r="L48">
            <v>15</v>
          </cell>
        </row>
      </sheetData>
      <sheetData sheetId="10"/>
      <sheetData sheetId="11"/>
      <sheetData sheetId="12">
        <row r="97">
          <cell r="C97">
            <v>4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15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22</v>
          </cell>
        </row>
        <row r="31">
          <cell r="C31">
            <v>9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10</v>
          </cell>
          <cell r="D38">
            <v>2</v>
          </cell>
          <cell r="E38">
            <v>2</v>
          </cell>
        </row>
        <row r="40">
          <cell r="C40">
            <v>7</v>
          </cell>
          <cell r="D40">
            <v>5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11</v>
          </cell>
        </row>
      </sheetData>
      <sheetData sheetId="27"/>
      <sheetData sheetId="28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82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35</v>
          </cell>
        </row>
        <row r="63">
          <cell r="C63">
            <v>0</v>
          </cell>
        </row>
        <row r="74">
          <cell r="C74">
            <v>12</v>
          </cell>
          <cell r="F74">
            <v>13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2</v>
          </cell>
          <cell r="K21">
            <v>1</v>
          </cell>
          <cell r="L21">
            <v>2</v>
          </cell>
          <cell r="M21">
            <v>0</v>
          </cell>
          <cell r="N21">
            <v>4</v>
          </cell>
          <cell r="O21">
            <v>2</v>
          </cell>
          <cell r="P21">
            <v>3</v>
          </cell>
          <cell r="Q21">
            <v>1</v>
          </cell>
          <cell r="R21">
            <v>1</v>
          </cell>
          <cell r="S21">
            <v>0</v>
          </cell>
          <cell r="T21">
            <v>1</v>
          </cell>
          <cell r="U21">
            <v>0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3</v>
          </cell>
          <cell r="AA21">
            <v>2</v>
          </cell>
          <cell r="AB21">
            <v>8</v>
          </cell>
          <cell r="AC21">
            <v>0</v>
          </cell>
          <cell r="AD21">
            <v>6</v>
          </cell>
          <cell r="AE21">
            <v>2</v>
          </cell>
          <cell r="AF21">
            <v>4</v>
          </cell>
        </row>
      </sheetData>
      <sheetData sheetId="3">
        <row r="21">
          <cell r="J21">
            <v>0</v>
          </cell>
          <cell r="K21">
            <v>0</v>
          </cell>
          <cell r="L21">
            <v>2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467</v>
          </cell>
        </row>
        <row r="24">
          <cell r="B24">
            <v>0</v>
          </cell>
        </row>
      </sheetData>
      <sheetData sheetId="5">
        <row r="11">
          <cell r="C11">
            <v>4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/>
          <cell r="N114"/>
          <cell r="O114">
            <v>1</v>
          </cell>
          <cell r="P114"/>
          <cell r="Q114"/>
          <cell r="R114"/>
          <cell r="S114">
            <v>2</v>
          </cell>
          <cell r="T114">
            <v>1</v>
          </cell>
          <cell r="U114"/>
          <cell r="V114">
            <v>1</v>
          </cell>
          <cell r="W114"/>
          <cell r="X114"/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20</v>
          </cell>
        </row>
        <row r="234">
          <cell r="C234">
            <v>4</v>
          </cell>
        </row>
        <row r="241">
          <cell r="AN241"/>
          <cell r="AO241"/>
          <cell r="AP241">
            <v>2</v>
          </cell>
        </row>
      </sheetData>
      <sheetData sheetId="6">
        <row r="12">
          <cell r="C12">
            <v>43</v>
          </cell>
        </row>
        <row r="22">
          <cell r="C22">
            <v>94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112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1</v>
          </cell>
          <cell r="O12">
            <v>0</v>
          </cell>
          <cell r="P12">
            <v>2</v>
          </cell>
          <cell r="Q12">
            <v>1</v>
          </cell>
          <cell r="R12">
            <v>2</v>
          </cell>
          <cell r="S12">
            <v>1</v>
          </cell>
          <cell r="T12">
            <v>6</v>
          </cell>
          <cell r="U12">
            <v>2</v>
          </cell>
          <cell r="V12">
            <v>1</v>
          </cell>
          <cell r="W12">
            <v>6</v>
          </cell>
          <cell r="X12">
            <v>4</v>
          </cell>
          <cell r="Y12">
            <v>3</v>
          </cell>
          <cell r="Z12">
            <v>3</v>
          </cell>
          <cell r="AA12">
            <v>3</v>
          </cell>
          <cell r="AB12">
            <v>5</v>
          </cell>
        </row>
        <row r="48">
          <cell r="G48">
            <v>0</v>
          </cell>
          <cell r="H48">
            <v>1</v>
          </cell>
          <cell r="I48">
            <v>3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31</v>
          </cell>
        </row>
        <row r="40">
          <cell r="C40"/>
          <cell r="D40"/>
          <cell r="E40">
            <v>7</v>
          </cell>
        </row>
        <row r="41">
          <cell r="C41">
            <v>6</v>
          </cell>
          <cell r="D41"/>
          <cell r="E41">
            <v>107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100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14</v>
          </cell>
          <cell r="F74">
            <v>6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3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5</v>
          </cell>
          <cell r="AA21">
            <v>4</v>
          </cell>
          <cell r="AB21">
            <v>7</v>
          </cell>
          <cell r="AC21">
            <v>6</v>
          </cell>
          <cell r="AD21">
            <v>9</v>
          </cell>
          <cell r="AE21">
            <v>2</v>
          </cell>
          <cell r="AF21">
            <v>8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309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2</v>
          </cell>
          <cell r="N114"/>
          <cell r="O114">
            <v>1</v>
          </cell>
          <cell r="P114">
            <v>2</v>
          </cell>
          <cell r="Q114"/>
          <cell r="R114">
            <v>1</v>
          </cell>
          <cell r="S114"/>
          <cell r="T114"/>
          <cell r="U114">
            <v>1</v>
          </cell>
          <cell r="V114"/>
          <cell r="W114">
            <v>1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18</v>
          </cell>
        </row>
        <row r="234">
          <cell r="C234">
            <v>1</v>
          </cell>
        </row>
        <row r="241">
          <cell r="AN241"/>
          <cell r="AO241"/>
          <cell r="AP241"/>
        </row>
      </sheetData>
      <sheetData sheetId="6">
        <row r="12">
          <cell r="C12">
            <v>35</v>
          </cell>
        </row>
        <row r="22">
          <cell r="C22">
            <v>113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3</v>
          </cell>
        </row>
        <row r="121">
          <cell r="AE121"/>
          <cell r="AF121"/>
        </row>
        <row r="122">
          <cell r="AF122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12</v>
          </cell>
          <cell r="AF136">
            <v>155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2</v>
          </cell>
          <cell r="S12">
            <v>0</v>
          </cell>
          <cell r="T12">
            <v>3</v>
          </cell>
          <cell r="U12">
            <v>1</v>
          </cell>
          <cell r="V12">
            <v>0</v>
          </cell>
          <cell r="W12">
            <v>8</v>
          </cell>
          <cell r="X12">
            <v>0</v>
          </cell>
          <cell r="Y12">
            <v>7</v>
          </cell>
          <cell r="Z12">
            <v>8</v>
          </cell>
          <cell r="AA12">
            <v>6</v>
          </cell>
          <cell r="AB12">
            <v>6</v>
          </cell>
        </row>
        <row r="48">
          <cell r="G48">
            <v>4</v>
          </cell>
          <cell r="H48">
            <v>1</v>
          </cell>
          <cell r="I48">
            <v>0</v>
          </cell>
          <cell r="J48">
            <v>4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</v>
          </cell>
        </row>
      </sheetData>
      <sheetData sheetId="16"/>
      <sheetData sheetId="17"/>
      <sheetData sheetId="18">
        <row r="10">
          <cell r="C10">
            <v>4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4</v>
          </cell>
          <cell r="D38"/>
          <cell r="E38">
            <v>9</v>
          </cell>
        </row>
        <row r="40">
          <cell r="C40"/>
          <cell r="D40"/>
          <cell r="E40"/>
        </row>
        <row r="41">
          <cell r="C41">
            <v>13</v>
          </cell>
          <cell r="D41"/>
          <cell r="E41">
            <v>36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</v>
          </cell>
        </row>
        <row r="44">
          <cell r="C44">
            <v>82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9</v>
          </cell>
          <cell r="F74">
            <v>5</v>
          </cell>
        </row>
      </sheetData>
      <sheetData sheetId="2">
        <row r="21">
          <cell r="G21">
            <v>0</v>
          </cell>
          <cell r="H21">
            <v>2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2</v>
          </cell>
          <cell r="O21">
            <v>1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2</v>
          </cell>
          <cell r="Z21">
            <v>1</v>
          </cell>
          <cell r="AA21">
            <v>2</v>
          </cell>
          <cell r="AB21">
            <v>0</v>
          </cell>
          <cell r="AC21">
            <v>2</v>
          </cell>
          <cell r="AD21">
            <v>4</v>
          </cell>
          <cell r="AE21">
            <v>3</v>
          </cell>
          <cell r="AF21">
            <v>12</v>
          </cell>
        </row>
      </sheetData>
      <sheetData sheetId="3">
        <row r="21">
          <cell r="J21">
            <v>0</v>
          </cell>
          <cell r="K21">
            <v>0</v>
          </cell>
          <cell r="L21">
            <v>1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335</v>
          </cell>
        </row>
        <row r="24">
          <cell r="B24">
            <v>0</v>
          </cell>
        </row>
      </sheetData>
      <sheetData sheetId="5">
        <row r="11">
          <cell r="C11">
            <v>5</v>
          </cell>
        </row>
        <row r="13">
          <cell r="C13">
            <v>4</v>
          </cell>
        </row>
        <row r="114">
          <cell r="H114"/>
          <cell r="I114"/>
          <cell r="J114"/>
          <cell r="K114"/>
          <cell r="L114"/>
          <cell r="M114"/>
          <cell r="N114"/>
          <cell r="O114">
            <v>1</v>
          </cell>
          <cell r="P114"/>
          <cell r="Q114"/>
          <cell r="R114">
            <v>1</v>
          </cell>
          <cell r="S114">
            <v>1</v>
          </cell>
          <cell r="T114"/>
          <cell r="U114">
            <v>1</v>
          </cell>
          <cell r="V114"/>
          <cell r="W114">
            <v>1</v>
          </cell>
          <cell r="X114">
            <v>2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/>
          <cell r="R127"/>
          <cell r="S127"/>
          <cell r="T127"/>
          <cell r="U127"/>
          <cell r="V127"/>
          <cell r="W127"/>
          <cell r="X127">
            <v>1</v>
          </cell>
          <cell r="Y127"/>
        </row>
        <row r="186">
          <cell r="C186">
            <v>26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65</v>
          </cell>
        </row>
        <row r="22">
          <cell r="C22">
            <v>116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</v>
          </cell>
          <cell r="AF136">
            <v>63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0</v>
          </cell>
          <cell r="T12">
            <v>1</v>
          </cell>
          <cell r="U12">
            <v>1</v>
          </cell>
          <cell r="V12">
            <v>0</v>
          </cell>
          <cell r="W12">
            <v>5</v>
          </cell>
          <cell r="X12">
            <v>2</v>
          </cell>
          <cell r="Y12">
            <v>2</v>
          </cell>
          <cell r="Z12">
            <v>1</v>
          </cell>
          <cell r="AA12">
            <v>4</v>
          </cell>
          <cell r="AB12">
            <v>5</v>
          </cell>
        </row>
        <row r="48">
          <cell r="G48">
            <v>0</v>
          </cell>
          <cell r="H48">
            <v>2</v>
          </cell>
          <cell r="I48">
            <v>0</v>
          </cell>
          <cell r="J48">
            <v>1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11</v>
          </cell>
        </row>
        <row r="40">
          <cell r="C40">
            <v>1</v>
          </cell>
          <cell r="D40"/>
          <cell r="E40">
            <v>2</v>
          </cell>
        </row>
        <row r="41">
          <cell r="C41">
            <v>4</v>
          </cell>
          <cell r="D41"/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</v>
          </cell>
        </row>
        <row r="44">
          <cell r="C44">
            <v>112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37</v>
          </cell>
        </row>
        <row r="63">
          <cell r="C63">
            <v>0</v>
          </cell>
        </row>
        <row r="74">
          <cell r="C74">
            <v>1</v>
          </cell>
          <cell r="F74">
            <v>2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3</v>
          </cell>
          <cell r="K21">
            <v>1</v>
          </cell>
          <cell r="L21">
            <v>0</v>
          </cell>
          <cell r="M21">
            <v>1</v>
          </cell>
          <cell r="N21">
            <v>0</v>
          </cell>
          <cell r="O21">
            <v>1</v>
          </cell>
          <cell r="P21">
            <v>0</v>
          </cell>
          <cell r="Q21">
            <v>1</v>
          </cell>
          <cell r="R21">
            <v>1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2</v>
          </cell>
          <cell r="Z21">
            <v>3</v>
          </cell>
          <cell r="AA21">
            <v>5</v>
          </cell>
          <cell r="AB21">
            <v>2</v>
          </cell>
          <cell r="AC21">
            <v>2</v>
          </cell>
          <cell r="AD21">
            <v>6</v>
          </cell>
          <cell r="AE21">
            <v>2</v>
          </cell>
          <cell r="AF21">
            <v>8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462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2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/>
          <cell r="O114"/>
          <cell r="P114"/>
          <cell r="Q114"/>
          <cell r="R114"/>
          <cell r="S114">
            <v>1</v>
          </cell>
          <cell r="T114">
            <v>1</v>
          </cell>
          <cell r="U114"/>
          <cell r="V114">
            <v>2</v>
          </cell>
          <cell r="W114">
            <v>2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32</v>
          </cell>
        </row>
        <row r="234">
          <cell r="C234">
            <v>1</v>
          </cell>
        </row>
        <row r="241">
          <cell r="AN241"/>
          <cell r="AO241"/>
          <cell r="AP241"/>
        </row>
      </sheetData>
      <sheetData sheetId="6">
        <row r="12">
          <cell r="C12">
            <v>75</v>
          </cell>
        </row>
        <row r="22">
          <cell r="C22">
            <v>156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7</v>
          </cell>
          <cell r="AF136">
            <v>83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0</v>
          </cell>
          <cell r="N12">
            <v>0</v>
          </cell>
          <cell r="O12">
            <v>2</v>
          </cell>
          <cell r="P12">
            <v>2</v>
          </cell>
          <cell r="Q12">
            <v>1</v>
          </cell>
          <cell r="R12">
            <v>0</v>
          </cell>
          <cell r="S12">
            <v>3</v>
          </cell>
          <cell r="T12">
            <v>2</v>
          </cell>
          <cell r="U12">
            <v>1</v>
          </cell>
          <cell r="V12">
            <v>4</v>
          </cell>
          <cell r="W12">
            <v>4</v>
          </cell>
          <cell r="X12">
            <v>1</v>
          </cell>
          <cell r="Y12">
            <v>6</v>
          </cell>
          <cell r="Z12">
            <v>6</v>
          </cell>
          <cell r="AA12">
            <v>5</v>
          </cell>
          <cell r="AB12">
            <v>4</v>
          </cell>
        </row>
        <row r="48">
          <cell r="G48">
            <v>1</v>
          </cell>
          <cell r="H48">
            <v>0</v>
          </cell>
          <cell r="I48">
            <v>4</v>
          </cell>
          <cell r="J48">
            <v>1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13</v>
          </cell>
        </row>
        <row r="40">
          <cell r="C40"/>
          <cell r="D40"/>
          <cell r="E40"/>
        </row>
        <row r="41">
          <cell r="C41">
            <v>2</v>
          </cell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1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0</v>
          </cell>
        </row>
        <row r="24">
          <cell r="B24">
            <v>0</v>
          </cell>
        </row>
      </sheetData>
      <sheetData sheetId="5"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3">
          <cell r="M3"/>
        </row>
        <row r="4">
          <cell r="M4"/>
        </row>
        <row r="5">
          <cell r="M5"/>
        </row>
        <row r="6">
          <cell r="M6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11</v>
          </cell>
          <cell r="K11">
            <v>18</v>
          </cell>
          <cell r="L11">
            <v>23</v>
          </cell>
          <cell r="M11">
            <v>23</v>
          </cell>
          <cell r="N11">
            <v>33</v>
          </cell>
          <cell r="O11">
            <v>51</v>
          </cell>
          <cell r="P11">
            <v>48</v>
          </cell>
          <cell r="Q11">
            <v>74</v>
          </cell>
          <cell r="R11">
            <v>62</v>
          </cell>
          <cell r="S11">
            <v>116</v>
          </cell>
          <cell r="T11">
            <v>98</v>
          </cell>
          <cell r="U11">
            <v>186</v>
          </cell>
          <cell r="V11">
            <v>137</v>
          </cell>
          <cell r="W11">
            <v>295</v>
          </cell>
        </row>
        <row r="20">
          <cell r="E20">
            <v>5784</v>
          </cell>
        </row>
        <row r="28">
          <cell r="E28">
            <v>2707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2600</v>
          </cell>
        </row>
      </sheetData>
      <sheetData sheetId="15"/>
      <sheetData sheetId="16"/>
      <sheetData sheetId="17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58</v>
          </cell>
          <cell r="X10">
            <v>60</v>
          </cell>
          <cell r="Y10">
            <v>54</v>
          </cell>
          <cell r="Z10">
            <v>60</v>
          </cell>
        </row>
        <row r="34">
          <cell r="D34">
            <v>655</v>
          </cell>
        </row>
      </sheetData>
      <sheetData sheetId="15"/>
      <sheetData sheetId="16"/>
      <sheetData sheetId="17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171</v>
          </cell>
        </row>
        <row r="64">
          <cell r="G64">
            <v>28</v>
          </cell>
          <cell r="H64">
            <v>23</v>
          </cell>
          <cell r="I64">
            <v>31</v>
          </cell>
          <cell r="J64">
            <v>16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18</v>
          </cell>
        </row>
        <row r="44">
          <cell r="C44">
            <v>385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115</v>
          </cell>
        </row>
        <row r="63">
          <cell r="C63">
            <v>0</v>
          </cell>
        </row>
        <row r="74">
          <cell r="C74">
            <v>10</v>
          </cell>
          <cell r="F74">
            <v>11</v>
          </cell>
        </row>
      </sheetData>
      <sheetData sheetId="2">
        <row r="21">
          <cell r="G21">
            <v>3</v>
          </cell>
          <cell r="H21">
            <v>4</v>
          </cell>
          <cell r="I21">
            <v>3</v>
          </cell>
          <cell r="J21">
            <v>5</v>
          </cell>
          <cell r="K21">
            <v>0</v>
          </cell>
          <cell r="L21">
            <v>5</v>
          </cell>
          <cell r="M21">
            <v>1</v>
          </cell>
          <cell r="N21">
            <v>2</v>
          </cell>
          <cell r="O21">
            <v>0</v>
          </cell>
          <cell r="P21">
            <v>4</v>
          </cell>
          <cell r="Q21">
            <v>0</v>
          </cell>
          <cell r="R21">
            <v>1</v>
          </cell>
          <cell r="S21">
            <v>2</v>
          </cell>
          <cell r="T21">
            <v>0</v>
          </cell>
          <cell r="U21">
            <v>2</v>
          </cell>
          <cell r="V21">
            <v>2</v>
          </cell>
          <cell r="W21">
            <v>1</v>
          </cell>
          <cell r="X21">
            <v>1</v>
          </cell>
          <cell r="Y21">
            <v>15</v>
          </cell>
          <cell r="Z21">
            <v>35</v>
          </cell>
          <cell r="AA21">
            <v>13</v>
          </cell>
          <cell r="AB21">
            <v>26</v>
          </cell>
          <cell r="AC21">
            <v>16</v>
          </cell>
          <cell r="AD21">
            <v>31</v>
          </cell>
          <cell r="AE21">
            <v>21</v>
          </cell>
          <cell r="AF21">
            <v>53</v>
          </cell>
        </row>
      </sheetData>
      <sheetData sheetId="3">
        <row r="21">
          <cell r="J21">
            <v>2</v>
          </cell>
          <cell r="K21">
            <v>4</v>
          </cell>
          <cell r="L21">
            <v>4</v>
          </cell>
          <cell r="M21">
            <v>7</v>
          </cell>
        </row>
        <row r="22">
          <cell r="J22"/>
          <cell r="K22"/>
          <cell r="L22">
            <v>3</v>
          </cell>
          <cell r="M22"/>
        </row>
        <row r="23">
          <cell r="J23"/>
          <cell r="K23"/>
          <cell r="L23">
            <v>2</v>
          </cell>
          <cell r="M23">
            <v>1</v>
          </cell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1035</v>
          </cell>
        </row>
        <row r="24">
          <cell r="B24">
            <v>48</v>
          </cell>
        </row>
      </sheetData>
      <sheetData sheetId="5">
        <row r="11">
          <cell r="C11">
            <v>14</v>
          </cell>
        </row>
        <row r="13">
          <cell r="C13">
            <v>12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1</v>
          </cell>
          <cell r="O114">
            <v>2</v>
          </cell>
          <cell r="P114">
            <v>3</v>
          </cell>
          <cell r="Q114">
            <v>2</v>
          </cell>
          <cell r="R114">
            <v>5</v>
          </cell>
          <cell r="S114">
            <v>3</v>
          </cell>
          <cell r="T114">
            <v>2</v>
          </cell>
          <cell r="U114">
            <v>1</v>
          </cell>
          <cell r="V114">
            <v>1</v>
          </cell>
          <cell r="W114">
            <v>4</v>
          </cell>
          <cell r="X114">
            <v>3</v>
          </cell>
          <cell r="Y114">
            <v>7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78</v>
          </cell>
        </row>
        <row r="234">
          <cell r="C234">
            <v>13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252</v>
          </cell>
        </row>
        <row r="22">
          <cell r="C22">
            <v>847</v>
          </cell>
        </row>
        <row r="23">
          <cell r="C23">
            <v>21</v>
          </cell>
        </row>
        <row r="32">
          <cell r="E32">
            <v>26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9</v>
          </cell>
          <cell r="AF136">
            <v>43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3</v>
          </cell>
          <cell r="L12">
            <v>1</v>
          </cell>
          <cell r="M12">
            <v>2</v>
          </cell>
          <cell r="N12"/>
          <cell r="O12">
            <v>4</v>
          </cell>
          <cell r="P12">
            <v>2</v>
          </cell>
          <cell r="Q12">
            <v>1</v>
          </cell>
          <cell r="R12">
            <v>2</v>
          </cell>
          <cell r="S12">
            <v>4</v>
          </cell>
          <cell r="T12">
            <v>9</v>
          </cell>
          <cell r="U12">
            <v>6</v>
          </cell>
          <cell r="V12">
            <v>5</v>
          </cell>
          <cell r="W12">
            <v>12</v>
          </cell>
          <cell r="X12">
            <v>13</v>
          </cell>
          <cell r="Y12">
            <v>12</v>
          </cell>
          <cell r="Z12">
            <v>19</v>
          </cell>
          <cell r="AA12">
            <v>40</v>
          </cell>
          <cell r="AB12">
            <v>73</v>
          </cell>
        </row>
        <row r="48">
          <cell r="G48">
            <v>2</v>
          </cell>
          <cell r="H48">
            <v>4</v>
          </cell>
          <cell r="I48">
            <v>2</v>
          </cell>
          <cell r="J48">
            <v>3</v>
          </cell>
          <cell r="K48">
            <v>6</v>
          </cell>
          <cell r="L48">
            <v>2</v>
          </cell>
        </row>
      </sheetData>
      <sheetData sheetId="10"/>
      <sheetData sheetId="11"/>
      <sheetData sheetId="12">
        <row r="97">
          <cell r="C97">
            <v>35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88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8</v>
          </cell>
        </row>
        <row r="31">
          <cell r="C31">
            <v>3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2</v>
          </cell>
          <cell r="E38">
            <v>2</v>
          </cell>
        </row>
        <row r="40">
          <cell r="C40">
            <v>5</v>
          </cell>
          <cell r="D40">
            <v>3</v>
          </cell>
          <cell r="E40">
            <v>8</v>
          </cell>
        </row>
        <row r="41">
          <cell r="C41">
            <v>9</v>
          </cell>
          <cell r="D41">
            <v>6</v>
          </cell>
          <cell r="E41">
            <v>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15</v>
          </cell>
        </row>
      </sheetData>
      <sheetData sheetId="27"/>
      <sheetData sheetId="28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10</v>
          </cell>
          <cell r="K11">
            <v>19</v>
          </cell>
          <cell r="L11">
            <v>23</v>
          </cell>
          <cell r="M11">
            <v>22</v>
          </cell>
          <cell r="N11">
            <v>33</v>
          </cell>
          <cell r="O11">
            <v>53</v>
          </cell>
          <cell r="P11">
            <v>48</v>
          </cell>
          <cell r="Q11">
            <v>74</v>
          </cell>
          <cell r="R11">
            <v>65</v>
          </cell>
          <cell r="S11">
            <v>123</v>
          </cell>
          <cell r="T11">
            <v>100</v>
          </cell>
          <cell r="U11">
            <v>182</v>
          </cell>
          <cell r="V11">
            <v>133</v>
          </cell>
          <cell r="W11">
            <v>303</v>
          </cell>
          <cell r="X11">
            <v>240</v>
          </cell>
          <cell r="Y11">
            <v>444</v>
          </cell>
          <cell r="Z11">
            <v>394</v>
          </cell>
          <cell r="AA11">
            <v>634</v>
          </cell>
        </row>
        <row r="20">
          <cell r="E20">
            <v>5783</v>
          </cell>
        </row>
        <row r="28">
          <cell r="E28">
            <v>2726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2642</v>
          </cell>
        </row>
      </sheetData>
      <sheetData sheetId="16"/>
      <sheetData sheetId="17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64</v>
          </cell>
          <cell r="X10">
            <v>62</v>
          </cell>
          <cell r="Y10">
            <v>49</v>
          </cell>
          <cell r="Z10">
            <v>65</v>
          </cell>
        </row>
        <row r="34">
          <cell r="D34">
            <v>715</v>
          </cell>
        </row>
        <row r="69">
          <cell r="G69">
            <v>94</v>
          </cell>
          <cell r="H69">
            <v>78</v>
          </cell>
        </row>
      </sheetData>
      <sheetData sheetId="16"/>
      <sheetData sheetId="17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196</v>
          </cell>
        </row>
        <row r="64">
          <cell r="G64">
            <v>29</v>
          </cell>
          <cell r="H64">
            <v>33</v>
          </cell>
          <cell r="I64">
            <v>31</v>
          </cell>
          <cell r="J64">
            <v>23</v>
          </cell>
          <cell r="K64">
            <v>3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9</v>
          </cell>
          <cell r="K11">
            <v>19</v>
          </cell>
          <cell r="L11">
            <v>23</v>
          </cell>
          <cell r="M11">
            <v>22</v>
          </cell>
          <cell r="N11">
            <v>34</v>
          </cell>
          <cell r="O11">
            <v>50</v>
          </cell>
          <cell r="P11">
            <v>49</v>
          </cell>
          <cell r="Q11">
            <v>89</v>
          </cell>
          <cell r="R11">
            <v>70</v>
          </cell>
          <cell r="S11">
            <v>129</v>
          </cell>
          <cell r="T11">
            <v>105</v>
          </cell>
          <cell r="U11">
            <v>181</v>
          </cell>
          <cell r="V11">
            <v>130</v>
          </cell>
          <cell r="W11">
            <v>311</v>
          </cell>
          <cell r="X11">
            <v>246</v>
          </cell>
          <cell r="Y11">
            <v>438</v>
          </cell>
          <cell r="Z11">
            <v>391</v>
          </cell>
          <cell r="AA11">
            <v>652</v>
          </cell>
        </row>
        <row r="20">
          <cell r="E20">
            <v>5881</v>
          </cell>
        </row>
        <row r="28">
          <cell r="E28">
            <v>2774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2637</v>
          </cell>
        </row>
      </sheetData>
      <sheetData sheetId="17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52</v>
          </cell>
          <cell r="X10">
            <v>27</v>
          </cell>
          <cell r="Y10">
            <v>61</v>
          </cell>
          <cell r="Z10">
            <v>65</v>
          </cell>
        </row>
        <row r="34">
          <cell r="D34">
            <v>663</v>
          </cell>
        </row>
        <row r="69">
          <cell r="G69">
            <v>78</v>
          </cell>
          <cell r="H69">
            <v>100</v>
          </cell>
        </row>
      </sheetData>
      <sheetData sheetId="17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164</v>
          </cell>
        </row>
        <row r="64">
          <cell r="G64">
            <v>16</v>
          </cell>
          <cell r="H64">
            <v>30</v>
          </cell>
          <cell r="I64">
            <v>39</v>
          </cell>
          <cell r="J64">
            <v>20</v>
          </cell>
          <cell r="K64">
            <v>6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5</v>
          </cell>
          <cell r="K11">
            <v>3</v>
          </cell>
          <cell r="L11">
            <v>7</v>
          </cell>
          <cell r="M11">
            <v>16</v>
          </cell>
          <cell r="N11">
            <v>12</v>
          </cell>
          <cell r="O11">
            <v>32</v>
          </cell>
          <cell r="P11">
            <v>22</v>
          </cell>
          <cell r="Q11">
            <v>58</v>
          </cell>
          <cell r="R11">
            <v>37</v>
          </cell>
          <cell r="S11">
            <v>78</v>
          </cell>
          <cell r="T11">
            <v>61</v>
          </cell>
          <cell r="U11">
            <v>132</v>
          </cell>
          <cell r="V11">
            <v>82</v>
          </cell>
          <cell r="W11">
            <v>181</v>
          </cell>
        </row>
        <row r="20">
          <cell r="E20">
            <v>3504</v>
          </cell>
        </row>
        <row r="28">
          <cell r="E28">
            <v>1664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1309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www.fonasa.cl/sites/fonasa/minisitio/tablero-eaps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BF68-2828-4316-BF37-FBE253118D73}">
  <sheetPr codeName="Hoja2"/>
  <dimension ref="B1:I9"/>
  <sheetViews>
    <sheetView showGridLines="0" workbookViewId="0">
      <selection activeCell="B9" sqref="B9:I9"/>
    </sheetView>
  </sheetViews>
  <sheetFormatPr baseColWidth="10" defaultRowHeight="12.75" x14ac:dyDescent="0.2"/>
  <cols>
    <col min="1" max="1" width="14" customWidth="1"/>
    <col min="2" max="2" width="14.42578125" customWidth="1"/>
    <col min="3" max="3" width="30.7109375" customWidth="1"/>
    <col min="4" max="4" width="16.7109375" customWidth="1"/>
    <col min="5" max="5" width="15.5703125" customWidth="1"/>
    <col min="6" max="6" width="12.140625" customWidth="1"/>
    <col min="9" max="9" width="10.5703125" customWidth="1"/>
    <col min="10" max="10" width="2.7109375" customWidth="1"/>
    <col min="11" max="11" width="1.140625" customWidth="1"/>
    <col min="12" max="12" width="4" customWidth="1"/>
  </cols>
  <sheetData>
    <row r="1" spans="2:9" ht="77.25" customHeight="1" x14ac:dyDescent="0.2"/>
    <row r="2" spans="2:9" ht="9" customHeight="1" thickBot="1" x14ac:dyDescent="0.4">
      <c r="B2" s="851"/>
      <c r="C2" s="851"/>
      <c r="D2" s="851"/>
      <c r="E2" s="851"/>
      <c r="F2" s="851"/>
      <c r="G2" s="851"/>
      <c r="H2" s="851"/>
      <c r="I2" s="851"/>
    </row>
    <row r="3" spans="2:9" ht="62.25" customHeight="1" x14ac:dyDescent="0.45">
      <c r="B3" s="852" t="s">
        <v>0</v>
      </c>
      <c r="C3" s="853"/>
      <c r="D3" s="853"/>
      <c r="E3" s="853"/>
      <c r="F3" s="853"/>
      <c r="G3" s="853"/>
      <c r="H3" s="853"/>
      <c r="I3" s="854"/>
    </row>
    <row r="4" spans="2:9" ht="31.5" customHeight="1" x14ac:dyDescent="0.45">
      <c r="B4" s="855"/>
      <c r="C4" s="856"/>
      <c r="D4" s="856"/>
      <c r="E4" s="856"/>
      <c r="F4" s="856"/>
      <c r="G4" s="856"/>
      <c r="H4" s="856"/>
      <c r="I4" s="857"/>
    </row>
    <row r="5" spans="2:9" ht="56.25" customHeight="1" x14ac:dyDescent="0.45">
      <c r="B5" s="855" t="s">
        <v>1</v>
      </c>
      <c r="C5" s="856"/>
      <c r="D5" s="856"/>
      <c r="E5" s="856"/>
      <c r="F5" s="856"/>
      <c r="G5" s="856"/>
      <c r="H5" s="856"/>
      <c r="I5" s="857"/>
    </row>
    <row r="6" spans="2:9" ht="24.75" customHeight="1" x14ac:dyDescent="0.45">
      <c r="B6" s="855"/>
      <c r="C6" s="856"/>
      <c r="D6" s="856"/>
      <c r="E6" s="856"/>
      <c r="F6" s="856"/>
      <c r="G6" s="856"/>
      <c r="H6" s="856"/>
      <c r="I6" s="857"/>
    </row>
    <row r="7" spans="2:9" ht="58.5" customHeight="1" thickBot="1" x14ac:dyDescent="0.5">
      <c r="B7" s="858" t="s">
        <v>540</v>
      </c>
      <c r="C7" s="859"/>
      <c r="D7" s="859"/>
      <c r="E7" s="859"/>
      <c r="F7" s="859"/>
      <c r="G7" s="859"/>
      <c r="H7" s="859"/>
      <c r="I7" s="860"/>
    </row>
    <row r="8" spans="2:9" ht="23.25" x14ac:dyDescent="0.35">
      <c r="B8" s="1"/>
      <c r="C8" s="1"/>
      <c r="D8" s="1"/>
      <c r="E8" s="1"/>
      <c r="F8" s="1"/>
      <c r="G8" s="1"/>
      <c r="H8" s="1"/>
      <c r="I8" s="1"/>
    </row>
    <row r="9" spans="2:9" ht="23.25" x14ac:dyDescent="0.35">
      <c r="B9" s="851">
        <v>2024</v>
      </c>
      <c r="C9" s="851"/>
      <c r="D9" s="851"/>
      <c r="E9" s="851"/>
      <c r="F9" s="851"/>
      <c r="G9" s="851"/>
      <c r="H9" s="851"/>
      <c r="I9" s="851"/>
    </row>
  </sheetData>
  <mergeCells count="7">
    <mergeCell ref="B9:I9"/>
    <mergeCell ref="B2:I2"/>
    <mergeCell ref="B3:I3"/>
    <mergeCell ref="B4:I4"/>
    <mergeCell ref="B5:I5"/>
    <mergeCell ref="B6:I6"/>
    <mergeCell ref="B7:I7"/>
  </mergeCell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803A-F631-4BC8-8862-099330B14B00}">
  <sheetPr codeName="Hoja10">
    <tabColor rgb="FF00B050"/>
  </sheetPr>
  <dimension ref="A1:BA19"/>
  <sheetViews>
    <sheetView topLeftCell="E1" zoomScale="60" zoomScaleNormal="60" workbookViewId="0">
      <selection activeCell="V7" sqref="V7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55.42578125" style="5" bestFit="1" customWidth="1"/>
    <col min="8" max="8" width="8" style="5" customWidth="1"/>
    <col min="9" max="10" width="9.7109375" style="5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0" width="7.42578125" style="57" customWidth="1"/>
    <col min="41" max="41" width="4.140625" style="57" customWidth="1"/>
    <col min="42" max="42" width="13.140625" style="6" bestFit="1" customWidth="1"/>
    <col min="43" max="43" width="23.42578125" style="5" bestFit="1" customWidth="1"/>
    <col min="44" max="44" width="33.28515625" style="5" bestFit="1" customWidth="1"/>
    <col min="45" max="45" width="27.7109375" style="5" bestFit="1" customWidth="1"/>
    <col min="46" max="47" width="2.140625" style="5" bestFit="1" customWidth="1"/>
    <col min="48" max="48" width="7.140625" style="5" bestFit="1" customWidth="1"/>
    <col min="49" max="49" width="6.140625" style="5" bestFit="1" customWidth="1"/>
    <col min="50" max="50" width="5.140625" style="5" bestFit="1" customWidth="1"/>
    <col min="51" max="52" width="7.140625" style="5" bestFit="1" customWidth="1"/>
    <col min="53" max="53" width="15.140625" style="5" customWidth="1"/>
    <col min="54" max="16384" width="11.42578125" style="5"/>
  </cols>
  <sheetData>
    <row r="1" spans="1:53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56"/>
      <c r="AC1" s="56"/>
      <c r="AH1" s="56"/>
      <c r="AI1" s="134"/>
      <c r="AJ1" s="56"/>
      <c r="AK1" s="56"/>
      <c r="AL1" s="134"/>
      <c r="AM1" s="134"/>
      <c r="AN1" s="56"/>
      <c r="AO1" s="56"/>
      <c r="AP1" s="3"/>
    </row>
    <row r="2" spans="1:53" s="2" customFormat="1" ht="28.5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5" t="str">
        <f>+NOMBRE!B7</f>
        <v>ENERO - OCTUBRE 2024</v>
      </c>
      <c r="Y2" s="905"/>
      <c r="Z2" s="905"/>
      <c r="AA2" s="905"/>
      <c r="AB2" s="56"/>
      <c r="AC2" s="56"/>
      <c r="AH2" s="56"/>
      <c r="AI2" s="134"/>
      <c r="AJ2" s="56"/>
      <c r="AK2" s="56"/>
      <c r="AL2" s="134"/>
      <c r="AM2" s="134"/>
      <c r="AN2" s="56"/>
      <c r="AO2" s="56"/>
      <c r="AP2" s="3"/>
    </row>
    <row r="3" spans="1:53" ht="3" customHeight="1" thickBot="1" x14ac:dyDescent="0.3"/>
    <row r="4" spans="1:53" ht="15" customHeight="1" x14ac:dyDescent="0.25">
      <c r="G4" s="58"/>
      <c r="H4" s="906" t="s">
        <v>516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07"/>
      <c r="W4" s="907"/>
      <c r="X4" s="907"/>
      <c r="Y4" s="907"/>
      <c r="Z4" s="907"/>
      <c r="AA4" s="908"/>
      <c r="AB4" s="5"/>
      <c r="AC4" s="5"/>
      <c r="AE4" s="6"/>
      <c r="AH4" s="87" t="s">
        <v>45</v>
      </c>
      <c r="AI4" s="88">
        <v>12</v>
      </c>
      <c r="AJ4" s="6"/>
      <c r="AK4" s="6"/>
      <c r="AL4" s="5"/>
      <c r="AQ4" s="135"/>
    </row>
    <row r="5" spans="1:53" ht="23.25" customHeight="1" thickBot="1" x14ac:dyDescent="0.3">
      <c r="G5" s="58"/>
      <c r="H5" s="909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1"/>
      <c r="AB5" s="5"/>
      <c r="AC5" s="5"/>
      <c r="AE5" s="6"/>
      <c r="AH5" s="87" t="s">
        <v>46</v>
      </c>
      <c r="AI5" s="88">
        <f>meta3!AB2</f>
        <v>10</v>
      </c>
      <c r="AJ5" s="6"/>
      <c r="AK5" s="5"/>
      <c r="AL5" s="5"/>
      <c r="AR5" s="136" t="s">
        <v>86</v>
      </c>
      <c r="AS5" s="136"/>
    </row>
    <row r="6" spans="1:53" ht="52.5" thickBot="1" x14ac:dyDescent="0.3">
      <c r="G6" s="58"/>
      <c r="H6" s="933" t="s">
        <v>4</v>
      </c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5"/>
      <c r="V6" s="8" t="s">
        <v>5</v>
      </c>
      <c r="W6" s="912" t="s">
        <v>6</v>
      </c>
      <c r="X6" s="952">
        <f>+NOMBRE!$B$9</f>
        <v>2024</v>
      </c>
      <c r="Y6" s="953"/>
      <c r="Z6" s="916" t="s">
        <v>7</v>
      </c>
      <c r="AA6" s="917"/>
      <c r="AB6" s="89" t="s">
        <v>47</v>
      </c>
      <c r="AC6" s="89" t="s">
        <v>48</v>
      </c>
      <c r="AD6" s="89" t="s">
        <v>49</v>
      </c>
      <c r="AE6" s="89" t="s">
        <v>50</v>
      </c>
      <c r="AF6" s="89" t="s">
        <v>51</v>
      </c>
      <c r="AG6" s="89" t="s">
        <v>52</v>
      </c>
      <c r="AH6" s="89" t="s">
        <v>45</v>
      </c>
      <c r="AI6" s="89" t="s">
        <v>53</v>
      </c>
      <c r="AJ6" s="89" t="s">
        <v>54</v>
      </c>
      <c r="AK6" s="89" t="s">
        <v>55</v>
      </c>
      <c r="AL6" s="89" t="s">
        <v>56</v>
      </c>
      <c r="AQ6" s="951" t="s">
        <v>88</v>
      </c>
      <c r="AR6" s="951"/>
      <c r="AS6" s="951"/>
    </row>
    <row r="7" spans="1:53" ht="136.5" customHeight="1" thickBot="1" x14ac:dyDescent="0.3">
      <c r="G7" s="58"/>
      <c r="H7" s="954" t="s">
        <v>466</v>
      </c>
      <c r="I7" s="955"/>
      <c r="J7" s="955"/>
      <c r="K7" s="955"/>
      <c r="L7" s="955"/>
      <c r="M7" s="955"/>
      <c r="N7" s="955"/>
      <c r="O7" s="955"/>
      <c r="P7" s="955"/>
      <c r="Q7" s="955"/>
      <c r="R7" s="955"/>
      <c r="S7" s="955"/>
      <c r="T7" s="955"/>
      <c r="U7" s="956"/>
      <c r="V7" s="137" t="s">
        <v>89</v>
      </c>
      <c r="W7" s="913"/>
      <c r="X7" s="12" t="s">
        <v>11</v>
      </c>
      <c r="Y7" s="12" t="s">
        <v>463</v>
      </c>
      <c r="Z7" s="14" t="s">
        <v>13</v>
      </c>
      <c r="AA7" s="14" t="s">
        <v>503</v>
      </c>
      <c r="AB7" s="90" t="s">
        <v>57</v>
      </c>
      <c r="AC7" s="90" t="s">
        <v>58</v>
      </c>
      <c r="AD7" s="90" t="s">
        <v>59</v>
      </c>
      <c r="AE7" s="91" t="s">
        <v>60</v>
      </c>
      <c r="AF7" s="91" t="s">
        <v>61</v>
      </c>
      <c r="AG7" s="528" t="s">
        <v>430</v>
      </c>
      <c r="AH7" s="91" t="s">
        <v>63</v>
      </c>
      <c r="AI7" s="91" t="s">
        <v>64</v>
      </c>
      <c r="AJ7" s="91" t="s">
        <v>65</v>
      </c>
      <c r="AK7" s="92" t="s">
        <v>66</v>
      </c>
      <c r="AL7" s="92" t="s">
        <v>67</v>
      </c>
      <c r="AQ7" s="91" t="s">
        <v>486</v>
      </c>
      <c r="AR7" s="91" t="s">
        <v>487</v>
      </c>
      <c r="AS7" s="91" t="s">
        <v>488</v>
      </c>
      <c r="AT7" s="138"/>
      <c r="AU7" s="138"/>
      <c r="AW7" s="139"/>
      <c r="AX7" s="140"/>
      <c r="AY7" s="140"/>
      <c r="AZ7" s="140"/>
      <c r="BA7" s="140"/>
    </row>
    <row r="8" spans="1:53" ht="85.5" customHeight="1" thickBot="1" x14ac:dyDescent="0.3">
      <c r="G8" s="603" t="s">
        <v>431</v>
      </c>
      <c r="H8" s="436"/>
      <c r="I8" s="420" t="s">
        <v>189</v>
      </c>
      <c r="J8" s="420" t="s">
        <v>190</v>
      </c>
      <c r="K8" s="420" t="s">
        <v>191</v>
      </c>
      <c r="L8" s="420" t="s">
        <v>192</v>
      </c>
      <c r="M8" s="420" t="s">
        <v>193</v>
      </c>
      <c r="N8" s="420" t="s">
        <v>194</v>
      </c>
      <c r="O8" s="420" t="s">
        <v>195</v>
      </c>
      <c r="P8" s="420" t="s">
        <v>196</v>
      </c>
      <c r="Q8" s="420" t="s">
        <v>423</v>
      </c>
      <c r="R8" s="420" t="s">
        <v>198</v>
      </c>
      <c r="S8" s="420" t="s">
        <v>199</v>
      </c>
      <c r="T8" s="420" t="s">
        <v>200</v>
      </c>
      <c r="U8" s="423" t="s">
        <v>201</v>
      </c>
      <c r="V8" s="443"/>
      <c r="W8" s="645"/>
      <c r="X8" s="480">
        <f>indicadores!E24</f>
        <v>0.1</v>
      </c>
      <c r="Y8" s="490">
        <f>indicadores!$D$54</f>
        <v>0.7</v>
      </c>
      <c r="Z8" s="439"/>
      <c r="AA8" s="775">
        <v>4.4000000000000004</v>
      </c>
      <c r="AB8" s="93" t="s">
        <v>68</v>
      </c>
      <c r="AC8" s="93" t="s">
        <v>69</v>
      </c>
      <c r="AD8" s="93" t="s">
        <v>70</v>
      </c>
      <c r="AE8" s="93" t="s">
        <v>71</v>
      </c>
      <c r="AF8" s="93" t="s">
        <v>72</v>
      </c>
      <c r="AG8" s="93" t="s">
        <v>73</v>
      </c>
      <c r="AH8" s="93" t="s">
        <v>74</v>
      </c>
      <c r="AI8" s="93" t="s">
        <v>75</v>
      </c>
      <c r="AJ8" s="93" t="s">
        <v>76</v>
      </c>
      <c r="AK8" s="93" t="s">
        <v>77</v>
      </c>
      <c r="AL8" s="93" t="s">
        <v>78</v>
      </c>
      <c r="AQ8" s="444"/>
      <c r="AR8" s="445"/>
      <c r="AS8" s="446"/>
      <c r="AT8" s="447"/>
      <c r="AU8" s="447"/>
      <c r="AW8" s="139"/>
      <c r="AX8" s="140"/>
      <c r="AY8" s="140"/>
      <c r="AZ8" s="140"/>
      <c r="BA8" s="140"/>
    </row>
    <row r="9" spans="1:53" ht="22.5" customHeight="1" x14ac:dyDescent="0.3">
      <c r="A9"/>
      <c r="B9"/>
      <c r="C9" s="64"/>
      <c r="D9" s="65"/>
      <c r="E9" s="66"/>
      <c r="F9" s="105"/>
      <c r="G9" s="19" t="s">
        <v>432</v>
      </c>
      <c r="H9" s="68"/>
      <c r="I9" s="68">
        <f>REMA!S6</f>
        <v>21</v>
      </c>
      <c r="J9" s="68">
        <f>REMA!T6</f>
        <v>24</v>
      </c>
      <c r="K9" s="68">
        <f>REMA!U6</f>
        <v>15</v>
      </c>
      <c r="L9" s="68">
        <f>REMA!V6</f>
        <v>23</v>
      </c>
      <c r="M9" s="68">
        <f>REMA!W6</f>
        <v>28</v>
      </c>
      <c r="N9" s="68">
        <f>REMA!X6</f>
        <v>26</v>
      </c>
      <c r="O9" s="68">
        <f>REMA!Y6</f>
        <v>38</v>
      </c>
      <c r="P9" s="68">
        <f>REMA!Z6</f>
        <v>12</v>
      </c>
      <c r="Q9" s="68">
        <f>REMA!AA6</f>
        <v>14</v>
      </c>
      <c r="R9" s="68">
        <f>REMA!AB6</f>
        <v>85</v>
      </c>
      <c r="S9" s="68">
        <f>+REMA!O6</f>
        <v>0</v>
      </c>
      <c r="T9" s="68">
        <f>+REMA!P6</f>
        <v>0</v>
      </c>
      <c r="U9" s="473">
        <f>SUM(I9:T9)</f>
        <v>286</v>
      </c>
      <c r="V9" s="68">
        <f>AS9</f>
        <v>10002.477999999999</v>
      </c>
      <c r="W9" s="503">
        <f>IF(V9=0,0,+U9/V9)</f>
        <v>2.8592914675743354E-2</v>
      </c>
      <c r="X9" s="516">
        <f>$X$8</f>
        <v>0.1</v>
      </c>
      <c r="Y9" s="37">
        <f>+X9*$Y$8</f>
        <v>6.9999999999999993E-2</v>
      </c>
      <c r="Z9" s="751">
        <f t="shared" ref="Z9:Z16" si="0">IF(+W9/Y9&gt;1,1,+W9/Y9)</f>
        <v>0.40847020965347652</v>
      </c>
      <c r="AA9" s="71">
        <f>+Z9*$AA$8/100</f>
        <v>1.797268922475297E-2</v>
      </c>
      <c r="AB9" s="734">
        <f>X9</f>
        <v>0.1</v>
      </c>
      <c r="AC9" s="144">
        <f>(AG9/AE9)</f>
        <v>2.8592914675743354E-2</v>
      </c>
      <c r="AD9" s="145">
        <f>AC9/AB9</f>
        <v>0.28592914675743353</v>
      </c>
      <c r="AE9" s="96">
        <f>V9</f>
        <v>10002.477999999999</v>
      </c>
      <c r="AF9" s="97">
        <f>AE9*AB9</f>
        <v>1000.2478</v>
      </c>
      <c r="AG9" s="96">
        <f>U9</f>
        <v>286</v>
      </c>
      <c r="AH9" s="97">
        <f>AF9/$AI$4</f>
        <v>83.353983333333332</v>
      </c>
      <c r="AI9" s="97">
        <f>AH9*$AI$5</f>
        <v>833.53983333333326</v>
      </c>
      <c r="AJ9" s="97">
        <f>U9</f>
        <v>286</v>
      </c>
      <c r="AK9" s="98">
        <f>AJ9/AI9</f>
        <v>0.34311497610892022</v>
      </c>
      <c r="AL9" s="427">
        <f>(AI9-AJ9)*-1</f>
        <v>-547.53983333333326</v>
      </c>
      <c r="AP9" s="141"/>
      <c r="AQ9" s="720">
        <f>SUM('[1]INSCRITA PERCAPITA 2024'!$AZ$34:$BH$34)</f>
        <v>11048.477999999999</v>
      </c>
      <c r="AR9" s="722">
        <f>REMP!R6</f>
        <v>1046</v>
      </c>
      <c r="AS9" s="719">
        <f>AQ9-AR9</f>
        <v>10002.477999999999</v>
      </c>
      <c r="AT9" s="15"/>
      <c r="AU9" s="15"/>
      <c r="AV9" s="15"/>
      <c r="AW9" s="15"/>
      <c r="AX9" s="15"/>
      <c r="AY9" s="15"/>
      <c r="AZ9" s="15"/>
    </row>
    <row r="10" spans="1:53" ht="15" customHeight="1" x14ac:dyDescent="0.3">
      <c r="A10"/>
      <c r="B10"/>
      <c r="C10" s="64"/>
      <c r="D10" s="65"/>
      <c r="E10" s="66"/>
      <c r="F10" s="105"/>
      <c r="G10" s="19" t="s">
        <v>433</v>
      </c>
      <c r="H10" s="73"/>
      <c r="I10" s="73">
        <f>REMA!S7</f>
        <v>26</v>
      </c>
      <c r="J10" s="73">
        <f>REMA!T7</f>
        <v>2</v>
      </c>
      <c r="K10" s="73">
        <f>REMA!U7</f>
        <v>10</v>
      </c>
      <c r="L10" s="73">
        <f>REMA!V7</f>
        <v>33</v>
      </c>
      <c r="M10" s="73">
        <f>REMA!W7</f>
        <v>19</v>
      </c>
      <c r="N10" s="73">
        <f>REMA!X7</f>
        <v>17</v>
      </c>
      <c r="O10" s="73">
        <f>REMA!Y7</f>
        <v>99</v>
      </c>
      <c r="P10" s="73">
        <f>REMA!Z7</f>
        <v>64</v>
      </c>
      <c r="Q10" s="73">
        <f>REMA!AA7</f>
        <v>47</v>
      </c>
      <c r="R10" s="73">
        <f>REMA!AB7</f>
        <v>33</v>
      </c>
      <c r="S10" s="73">
        <f>+REMA!O7</f>
        <v>0</v>
      </c>
      <c r="T10" s="73">
        <f>+REMA!P7</f>
        <v>0</v>
      </c>
      <c r="U10" s="474">
        <f t="shared" ref="U10:U15" si="1">SUM(I10:T10)</f>
        <v>350</v>
      </c>
      <c r="V10" s="73">
        <f t="shared" ref="V10:V15" si="2">AS10</f>
        <v>6145</v>
      </c>
      <c r="W10" s="504">
        <f t="shared" ref="W10:W16" si="3">IF(V10=0,0,+U10/V10)</f>
        <v>5.6956875508543531E-2</v>
      </c>
      <c r="X10" s="517">
        <f t="shared" ref="X10:X16" si="4">$X$8</f>
        <v>0.1</v>
      </c>
      <c r="Y10" s="42">
        <f t="shared" ref="Y10:Y16" si="5">+X10*$Y$8</f>
        <v>6.9999999999999993E-2</v>
      </c>
      <c r="Z10" s="752">
        <f t="shared" si="0"/>
        <v>0.8136696501220505</v>
      </c>
      <c r="AA10" s="77">
        <f t="shared" ref="AA10:AA15" si="6">+Z10*$AA$8/100</f>
        <v>3.5801464605370224E-2</v>
      </c>
      <c r="AB10" s="734">
        <f t="shared" ref="AB10:AB16" si="7">X10</f>
        <v>0.1</v>
      </c>
      <c r="AC10" s="144">
        <f t="shared" ref="AC10:AC16" si="8">(AG10/AE10)</f>
        <v>5.6956875508543531E-2</v>
      </c>
      <c r="AD10" s="145">
        <f t="shared" ref="AD10:AD16" si="9">AC10/AB10</f>
        <v>0.56956875508543525</v>
      </c>
      <c r="AE10" s="96">
        <f t="shared" ref="AE10:AE16" si="10">V10</f>
        <v>6145</v>
      </c>
      <c r="AF10" s="97">
        <f t="shared" ref="AF10:AF16" si="11">AE10*AB10</f>
        <v>614.5</v>
      </c>
      <c r="AG10" s="96">
        <f t="shared" ref="AG10:AG16" si="12">U10</f>
        <v>350</v>
      </c>
      <c r="AH10" s="97">
        <f t="shared" ref="AH10:AH16" si="13">AF10/$AI$4</f>
        <v>51.208333333333336</v>
      </c>
      <c r="AI10" s="97">
        <f t="shared" ref="AI10:AI16" si="14">AH10*$AI$5</f>
        <v>512.08333333333337</v>
      </c>
      <c r="AJ10" s="97">
        <f t="shared" ref="AJ10:AJ16" si="15">U10</f>
        <v>350</v>
      </c>
      <c r="AK10" s="98">
        <f t="shared" ref="AK10:AK16" si="16">AJ10/AI10</f>
        <v>0.68348250610252237</v>
      </c>
      <c r="AL10" s="427">
        <f t="shared" ref="AL10:AL16" si="17">(AI10-AJ10)*-1</f>
        <v>-162.08333333333337</v>
      </c>
      <c r="AP10" s="141"/>
      <c r="AQ10" s="710">
        <f>SUM('[1]INSCRITA PERCAPITA 2024'!$AZ$35:$BH$35)</f>
        <v>6703</v>
      </c>
      <c r="AR10" s="721">
        <f>REMP!R7</f>
        <v>558</v>
      </c>
      <c r="AS10" s="718">
        <f t="shared" ref="AS10:AS15" si="18">AQ10-AR10</f>
        <v>6145</v>
      </c>
      <c r="AT10" s="15"/>
      <c r="AU10" s="15"/>
      <c r="AV10" s="15"/>
      <c r="AW10" s="15"/>
      <c r="AX10" s="15"/>
      <c r="AY10" s="15"/>
      <c r="AZ10" s="15"/>
    </row>
    <row r="11" spans="1:53" ht="15" customHeight="1" x14ac:dyDescent="0.3">
      <c r="A11"/>
      <c r="B11"/>
      <c r="C11" s="64"/>
      <c r="D11" s="65"/>
      <c r="E11" s="66"/>
      <c r="F11" s="105"/>
      <c r="G11" s="19" t="s">
        <v>434</v>
      </c>
      <c r="H11" s="73"/>
      <c r="I11" s="73">
        <f>REMA!S8</f>
        <v>22</v>
      </c>
      <c r="J11" s="73">
        <f>REMA!T8</f>
        <v>17</v>
      </c>
      <c r="K11" s="73">
        <f>REMA!U8</f>
        <v>13</v>
      </c>
      <c r="L11" s="73">
        <f>REMA!V8</f>
        <v>21</v>
      </c>
      <c r="M11" s="73">
        <f>REMA!W8</f>
        <v>39</v>
      </c>
      <c r="N11" s="73">
        <f>REMA!X8</f>
        <v>67</v>
      </c>
      <c r="O11" s="73">
        <f>REMA!Y8</f>
        <v>49</v>
      </c>
      <c r="P11" s="73">
        <f>REMA!Z8</f>
        <v>23</v>
      </c>
      <c r="Q11" s="73">
        <f>REMA!AA8</f>
        <v>18</v>
      </c>
      <c r="R11" s="73">
        <f>REMA!AB8</f>
        <v>19</v>
      </c>
      <c r="S11" s="73">
        <f>+REMA!O8</f>
        <v>0</v>
      </c>
      <c r="T11" s="73">
        <f>+REMA!P8</f>
        <v>0</v>
      </c>
      <c r="U11" s="474">
        <f t="shared" si="1"/>
        <v>288</v>
      </c>
      <c r="V11" s="73">
        <f t="shared" si="2"/>
        <v>4239</v>
      </c>
      <c r="W11" s="504">
        <f t="shared" si="3"/>
        <v>6.7940552016985137E-2</v>
      </c>
      <c r="X11" s="517">
        <f t="shared" si="4"/>
        <v>0.1</v>
      </c>
      <c r="Y11" s="42">
        <f t="shared" si="5"/>
        <v>6.9999999999999993E-2</v>
      </c>
      <c r="Z11" s="752">
        <f t="shared" si="0"/>
        <v>0.97057931452835922</v>
      </c>
      <c r="AA11" s="77">
        <f t="shared" si="6"/>
        <v>4.2705489839247802E-2</v>
      </c>
      <c r="AB11" s="734">
        <f t="shared" si="7"/>
        <v>0.1</v>
      </c>
      <c r="AC11" s="144">
        <f t="shared" si="8"/>
        <v>6.7940552016985137E-2</v>
      </c>
      <c r="AD11" s="145">
        <f t="shared" si="9"/>
        <v>0.67940552016985134</v>
      </c>
      <c r="AE11" s="96">
        <f t="shared" si="10"/>
        <v>4239</v>
      </c>
      <c r="AF11" s="97">
        <f t="shared" si="11"/>
        <v>423.90000000000003</v>
      </c>
      <c r="AG11" s="96">
        <f t="shared" si="12"/>
        <v>288</v>
      </c>
      <c r="AH11" s="97">
        <f t="shared" si="13"/>
        <v>35.325000000000003</v>
      </c>
      <c r="AI11" s="97">
        <f t="shared" si="14"/>
        <v>353.25</v>
      </c>
      <c r="AJ11" s="97">
        <f t="shared" si="15"/>
        <v>288</v>
      </c>
      <c r="AK11" s="98">
        <f t="shared" si="16"/>
        <v>0.8152866242038217</v>
      </c>
      <c r="AL11" s="427">
        <f t="shared" si="17"/>
        <v>-65.25</v>
      </c>
      <c r="AP11" s="141"/>
      <c r="AQ11" s="710">
        <f>SUM('[1]INSCRITA PERCAPITA 2024'!$AZ$38:$BH$38)</f>
        <v>4580</v>
      </c>
      <c r="AR11" s="721">
        <f>REMP!R8</f>
        <v>341</v>
      </c>
      <c r="AS11" s="718">
        <f t="shared" si="18"/>
        <v>4239</v>
      </c>
      <c r="AT11" s="15"/>
      <c r="AU11" s="15"/>
      <c r="AV11" s="15"/>
      <c r="AW11" s="15"/>
      <c r="AX11" s="15"/>
      <c r="AY11" s="15"/>
      <c r="AZ11" s="15"/>
    </row>
    <row r="12" spans="1:53" ht="15" customHeight="1" x14ac:dyDescent="0.3">
      <c r="A12"/>
      <c r="B12"/>
      <c r="C12" s="64"/>
      <c r="D12" s="65"/>
      <c r="E12" s="66"/>
      <c r="F12" s="105"/>
      <c r="G12" s="19" t="s">
        <v>435</v>
      </c>
      <c r="H12" s="73"/>
      <c r="I12" s="73">
        <f>REMA!S9</f>
        <v>58</v>
      </c>
      <c r="J12" s="73">
        <f>REMA!T9</f>
        <v>28</v>
      </c>
      <c r="K12" s="73">
        <f>REMA!U9</f>
        <v>6</v>
      </c>
      <c r="L12" s="73">
        <f>REMA!V9</f>
        <v>12</v>
      </c>
      <c r="M12" s="73">
        <f>REMA!W9</f>
        <v>9</v>
      </c>
      <c r="N12" s="73">
        <f>REMA!X9</f>
        <v>10</v>
      </c>
      <c r="O12" s="73">
        <f>REMA!Y9</f>
        <v>16</v>
      </c>
      <c r="P12" s="73">
        <f>REMA!Z9</f>
        <v>38</v>
      </c>
      <c r="Q12" s="73">
        <f>REMA!AA9</f>
        <v>18</v>
      </c>
      <c r="R12" s="73">
        <f>REMA!AB9</f>
        <v>47</v>
      </c>
      <c r="S12" s="73">
        <f>+REMA!O9</f>
        <v>0</v>
      </c>
      <c r="T12" s="73">
        <f>+REMA!P9</f>
        <v>0</v>
      </c>
      <c r="U12" s="474">
        <f t="shared" si="1"/>
        <v>242</v>
      </c>
      <c r="V12" s="73">
        <f t="shared" si="2"/>
        <v>4504.0760000000009</v>
      </c>
      <c r="W12" s="504">
        <f t="shared" si="3"/>
        <v>5.372911114288479E-2</v>
      </c>
      <c r="X12" s="517">
        <f t="shared" si="4"/>
        <v>0.1</v>
      </c>
      <c r="Y12" s="42">
        <f t="shared" si="5"/>
        <v>6.9999999999999993E-2</v>
      </c>
      <c r="Z12" s="752">
        <f t="shared" si="0"/>
        <v>0.76755873061263991</v>
      </c>
      <c r="AA12" s="77">
        <f t="shared" si="6"/>
        <v>3.3772584146956157E-2</v>
      </c>
      <c r="AB12" s="734">
        <f t="shared" si="7"/>
        <v>0.1</v>
      </c>
      <c r="AC12" s="144">
        <f t="shared" si="8"/>
        <v>5.372911114288479E-2</v>
      </c>
      <c r="AD12" s="145">
        <f t="shared" si="9"/>
        <v>0.53729111142884789</v>
      </c>
      <c r="AE12" s="96">
        <f t="shared" si="10"/>
        <v>4504.0760000000009</v>
      </c>
      <c r="AF12" s="97">
        <f t="shared" si="11"/>
        <v>450.40760000000012</v>
      </c>
      <c r="AG12" s="96">
        <f t="shared" si="12"/>
        <v>242</v>
      </c>
      <c r="AH12" s="97">
        <f t="shared" si="13"/>
        <v>37.533966666666679</v>
      </c>
      <c r="AI12" s="97">
        <f t="shared" si="14"/>
        <v>375.3396666666668</v>
      </c>
      <c r="AJ12" s="97">
        <f t="shared" si="15"/>
        <v>242</v>
      </c>
      <c r="AK12" s="98">
        <f t="shared" si="16"/>
        <v>0.6447493337146174</v>
      </c>
      <c r="AL12" s="427">
        <f t="shared" si="17"/>
        <v>-133.3396666666668</v>
      </c>
      <c r="AP12" s="141"/>
      <c r="AQ12" s="710">
        <f>SUM('[1]INSCRITA PERCAPITA 2024'!$AZ$37:$BH$37)</f>
        <v>5028.0760000000009</v>
      </c>
      <c r="AR12" s="721">
        <f>REMP!R9</f>
        <v>524</v>
      </c>
      <c r="AS12" s="718">
        <f t="shared" si="18"/>
        <v>4504.0760000000009</v>
      </c>
      <c r="AT12" s="15"/>
      <c r="AU12" s="15"/>
      <c r="AV12" s="15"/>
      <c r="AW12" s="15"/>
      <c r="AX12" s="15"/>
      <c r="AY12" s="15"/>
      <c r="AZ12" s="15"/>
    </row>
    <row r="13" spans="1:53" ht="15" customHeight="1" x14ac:dyDescent="0.3">
      <c r="A13"/>
      <c r="B13"/>
      <c r="C13" s="64"/>
      <c r="D13" s="65"/>
      <c r="E13" s="66"/>
      <c r="F13" s="105"/>
      <c r="G13" s="19" t="s">
        <v>436</v>
      </c>
      <c r="H13" s="73"/>
      <c r="I13" s="73">
        <f>REMA!S10</f>
        <v>27</v>
      </c>
      <c r="J13" s="73">
        <f>REMA!T10</f>
        <v>3</v>
      </c>
      <c r="K13" s="73">
        <f>REMA!U10</f>
        <v>15</v>
      </c>
      <c r="L13" s="73">
        <f>REMA!V10</f>
        <v>64</v>
      </c>
      <c r="M13" s="73">
        <f>REMA!W10</f>
        <v>41</v>
      </c>
      <c r="N13" s="73">
        <f>REMA!X10</f>
        <v>38</v>
      </c>
      <c r="O13" s="73">
        <f>REMA!Y10</f>
        <v>11</v>
      </c>
      <c r="P13" s="73">
        <f>REMA!Z10</f>
        <v>20</v>
      </c>
      <c r="Q13" s="73">
        <f>REMA!AA10</f>
        <v>19</v>
      </c>
      <c r="R13" s="73">
        <f>REMA!AB10</f>
        <v>35</v>
      </c>
      <c r="S13" s="73">
        <f>+REMA!O10</f>
        <v>0</v>
      </c>
      <c r="T13" s="73">
        <f>+REMA!P10</f>
        <v>0</v>
      </c>
      <c r="U13" s="474">
        <f t="shared" si="1"/>
        <v>273</v>
      </c>
      <c r="V13" s="73">
        <f t="shared" si="2"/>
        <v>4815</v>
      </c>
      <c r="W13" s="504">
        <f t="shared" si="3"/>
        <v>5.6697819314641747E-2</v>
      </c>
      <c r="X13" s="517">
        <f t="shared" si="4"/>
        <v>0.1</v>
      </c>
      <c r="Y13" s="42">
        <f t="shared" si="5"/>
        <v>6.9999999999999993E-2</v>
      </c>
      <c r="Z13" s="752">
        <f t="shared" si="0"/>
        <v>0.80996884735202501</v>
      </c>
      <c r="AA13" s="77">
        <f t="shared" si="6"/>
        <v>3.5638629283489105E-2</v>
      </c>
      <c r="AB13" s="734">
        <f t="shared" si="7"/>
        <v>0.1</v>
      </c>
      <c r="AC13" s="144">
        <f t="shared" si="8"/>
        <v>5.6697819314641747E-2</v>
      </c>
      <c r="AD13" s="145">
        <f t="shared" si="9"/>
        <v>0.5669781931464174</v>
      </c>
      <c r="AE13" s="96">
        <f t="shared" si="10"/>
        <v>4815</v>
      </c>
      <c r="AF13" s="97">
        <f t="shared" si="11"/>
        <v>481.5</v>
      </c>
      <c r="AG13" s="96">
        <f t="shared" si="12"/>
        <v>273</v>
      </c>
      <c r="AH13" s="97">
        <f t="shared" si="13"/>
        <v>40.125</v>
      </c>
      <c r="AI13" s="97">
        <f t="shared" si="14"/>
        <v>401.25</v>
      </c>
      <c r="AJ13" s="97">
        <f t="shared" si="15"/>
        <v>273</v>
      </c>
      <c r="AK13" s="98">
        <f t="shared" si="16"/>
        <v>0.68037383177570099</v>
      </c>
      <c r="AL13" s="427">
        <f t="shared" si="17"/>
        <v>-128.25</v>
      </c>
      <c r="AP13" s="141"/>
      <c r="AQ13" s="710">
        <f>SUM('[1]INSCRITA PERCAPITA 2024'!$AZ$36:$BH$36)</f>
        <v>5349</v>
      </c>
      <c r="AR13" s="721">
        <f>REMP!R10</f>
        <v>534</v>
      </c>
      <c r="AS13" s="718">
        <f t="shared" si="18"/>
        <v>4815</v>
      </c>
      <c r="AT13" s="15"/>
      <c r="AU13" s="15"/>
      <c r="AV13" s="15"/>
      <c r="AW13" s="15"/>
      <c r="AX13" s="15"/>
      <c r="AY13" s="15"/>
      <c r="AZ13" s="15"/>
    </row>
    <row r="14" spans="1:53" ht="15" customHeight="1" x14ac:dyDescent="0.3">
      <c r="A14"/>
      <c r="B14"/>
      <c r="C14" s="64"/>
      <c r="D14" s="65"/>
      <c r="E14" s="66"/>
      <c r="F14" s="105"/>
      <c r="G14" s="19" t="s">
        <v>437</v>
      </c>
      <c r="H14" s="73"/>
      <c r="I14" s="73">
        <f>REMA!S11</f>
        <v>0</v>
      </c>
      <c r="J14" s="73">
        <f>REMA!T11</f>
        <v>0</v>
      </c>
      <c r="K14" s="73">
        <f>REMA!U11</f>
        <v>1</v>
      </c>
      <c r="L14" s="73">
        <f>REMA!V11</f>
        <v>3</v>
      </c>
      <c r="M14" s="73">
        <f>REMA!W11</f>
        <v>1</v>
      </c>
      <c r="N14" s="73">
        <f>REMA!X11</f>
        <v>1</v>
      </c>
      <c r="O14" s="73">
        <f>REMA!Y11</f>
        <v>4</v>
      </c>
      <c r="P14" s="73">
        <f>REMA!Z11</f>
        <v>0</v>
      </c>
      <c r="Q14" s="73">
        <f>REMA!AA11</f>
        <v>1</v>
      </c>
      <c r="R14" s="73">
        <f>REMA!AB11</f>
        <v>2</v>
      </c>
      <c r="S14" s="73">
        <f>+REMA!O11</f>
        <v>0</v>
      </c>
      <c r="T14" s="73">
        <f>+REMA!P11</f>
        <v>0</v>
      </c>
      <c r="U14" s="474">
        <f t="shared" si="1"/>
        <v>13</v>
      </c>
      <c r="V14" s="73">
        <f t="shared" si="2"/>
        <v>117.52199999999996</v>
      </c>
      <c r="W14" s="504">
        <f t="shared" si="3"/>
        <v>0.11061758649444363</v>
      </c>
      <c r="X14" s="517">
        <f t="shared" si="4"/>
        <v>0.1</v>
      </c>
      <c r="Y14" s="42">
        <f t="shared" si="5"/>
        <v>6.9999999999999993E-2</v>
      </c>
      <c r="Z14" s="752">
        <f t="shared" si="0"/>
        <v>1</v>
      </c>
      <c r="AA14" s="77">
        <f t="shared" si="6"/>
        <v>4.4000000000000004E-2</v>
      </c>
      <c r="AB14" s="734">
        <f t="shared" si="7"/>
        <v>0.1</v>
      </c>
      <c r="AC14" s="144">
        <f t="shared" si="8"/>
        <v>0.11061758649444363</v>
      </c>
      <c r="AD14" s="145">
        <f t="shared" si="9"/>
        <v>1.1061758649444362</v>
      </c>
      <c r="AE14" s="96">
        <f t="shared" si="10"/>
        <v>117.52199999999996</v>
      </c>
      <c r="AF14" s="97">
        <f t="shared" si="11"/>
        <v>11.752199999999997</v>
      </c>
      <c r="AG14" s="96">
        <f t="shared" si="12"/>
        <v>13</v>
      </c>
      <c r="AH14" s="97">
        <f t="shared" si="13"/>
        <v>0.97934999999999972</v>
      </c>
      <c r="AI14" s="97">
        <f t="shared" si="14"/>
        <v>9.7934999999999981</v>
      </c>
      <c r="AJ14" s="97">
        <f t="shared" si="15"/>
        <v>13</v>
      </c>
      <c r="AK14" s="98">
        <f t="shared" si="16"/>
        <v>1.3274110379333235</v>
      </c>
      <c r="AL14" s="427">
        <f t="shared" si="17"/>
        <v>3.2065000000000019</v>
      </c>
      <c r="AP14" s="141"/>
      <c r="AQ14" s="710">
        <f>SUM('[1]INSCRITA PERCAPITA 2024'!$AZ$39:$BH$39)</f>
        <v>145.52199999999996</v>
      </c>
      <c r="AR14" s="721">
        <f>REMP!R11</f>
        <v>28</v>
      </c>
      <c r="AS14" s="718">
        <f t="shared" si="18"/>
        <v>117.52199999999996</v>
      </c>
      <c r="AT14" s="15"/>
      <c r="AU14" s="15"/>
      <c r="AV14" s="15"/>
      <c r="AW14" s="15"/>
      <c r="AX14" s="15"/>
      <c r="AY14" s="15"/>
      <c r="AZ14" s="15"/>
    </row>
    <row r="15" spans="1:53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113"/>
      <c r="I15" s="113">
        <f>REMA!S12</f>
        <v>1</v>
      </c>
      <c r="J15" s="113">
        <f>REMA!T12</f>
        <v>0</v>
      </c>
      <c r="K15" s="113">
        <f>REMA!U12</f>
        <v>2</v>
      </c>
      <c r="L15" s="113">
        <f>REMA!V12</f>
        <v>1</v>
      </c>
      <c r="M15" s="113">
        <f>REMA!W12</f>
        <v>0</v>
      </c>
      <c r="N15" s="113">
        <f>REMA!X12</f>
        <v>3</v>
      </c>
      <c r="O15" s="113">
        <f>REMA!Y12</f>
        <v>5</v>
      </c>
      <c r="P15" s="113">
        <f>REMA!Z12</f>
        <v>0</v>
      </c>
      <c r="Q15" s="113">
        <f>REMA!AA12</f>
        <v>1</v>
      </c>
      <c r="R15" s="113">
        <f>REMA!AB12</f>
        <v>5</v>
      </c>
      <c r="S15" s="113">
        <f>+REMA!O12</f>
        <v>0</v>
      </c>
      <c r="T15" s="113">
        <f>+REMA!P12</f>
        <v>0</v>
      </c>
      <c r="U15" s="612">
        <f t="shared" si="1"/>
        <v>18</v>
      </c>
      <c r="V15" s="113">
        <f t="shared" si="2"/>
        <v>1187.9240000000002</v>
      </c>
      <c r="W15" s="505">
        <f t="shared" si="3"/>
        <v>1.5152484502375571E-2</v>
      </c>
      <c r="X15" s="659">
        <f t="shared" si="4"/>
        <v>0.1</v>
      </c>
      <c r="Y15" s="55">
        <f t="shared" si="5"/>
        <v>6.9999999999999993E-2</v>
      </c>
      <c r="Z15" s="753">
        <f t="shared" si="0"/>
        <v>0.21646406431965104</v>
      </c>
      <c r="AA15" s="77">
        <f t="shared" si="6"/>
        <v>9.5244188300646453E-3</v>
      </c>
      <c r="AB15" s="755">
        <f t="shared" si="7"/>
        <v>0.1</v>
      </c>
      <c r="AC15" s="539">
        <f t="shared" si="8"/>
        <v>1.5152484502375571E-2</v>
      </c>
      <c r="AD15" s="540">
        <f t="shared" si="9"/>
        <v>0.15152484502375571</v>
      </c>
      <c r="AE15" s="96">
        <f t="shared" si="10"/>
        <v>1187.9240000000002</v>
      </c>
      <c r="AF15" s="97">
        <f t="shared" si="11"/>
        <v>118.79240000000003</v>
      </c>
      <c r="AG15" s="96">
        <f t="shared" si="12"/>
        <v>18</v>
      </c>
      <c r="AH15" s="97">
        <f t="shared" si="13"/>
        <v>9.8993666666666691</v>
      </c>
      <c r="AI15" s="97">
        <f t="shared" si="14"/>
        <v>98.993666666666684</v>
      </c>
      <c r="AJ15" s="97">
        <f t="shared" si="15"/>
        <v>18</v>
      </c>
      <c r="AK15" s="541">
        <f t="shared" si="16"/>
        <v>0.18182981402850684</v>
      </c>
      <c r="AL15" s="427">
        <f t="shared" si="17"/>
        <v>-80.993666666666684</v>
      </c>
      <c r="AP15" s="141"/>
      <c r="AQ15" s="717">
        <f>SUM('[1]INSCRITA PERCAPITA 2024'!$AZ$40:$BH$40)</f>
        <v>1326.9240000000002</v>
      </c>
      <c r="AR15" s="711">
        <f>REMP!R12</f>
        <v>139</v>
      </c>
      <c r="AS15" s="723">
        <f t="shared" si="18"/>
        <v>1187.9240000000002</v>
      </c>
      <c r="AT15" s="15"/>
      <c r="AU15" s="15"/>
      <c r="AV15" s="15"/>
      <c r="AW15" s="15"/>
      <c r="AX15" s="15"/>
      <c r="AY15" s="15"/>
      <c r="AZ15" s="15"/>
    </row>
    <row r="16" spans="1:53" ht="15" customHeight="1" thickBot="1" x14ac:dyDescent="0.3">
      <c r="A16"/>
      <c r="B16"/>
      <c r="C16" s="64"/>
      <c r="D16" s="65"/>
      <c r="E16" s="66"/>
      <c r="F16" s="105"/>
      <c r="G16" s="613" t="s">
        <v>15</v>
      </c>
      <c r="H16" s="84"/>
      <c r="I16" s="84">
        <f>SUM(I9:I15)</f>
        <v>155</v>
      </c>
      <c r="J16" s="84">
        <f t="shared" ref="J16:T16" si="19">SUM(J9:J15)</f>
        <v>74</v>
      </c>
      <c r="K16" s="84">
        <f t="shared" si="19"/>
        <v>62</v>
      </c>
      <c r="L16" s="84">
        <f t="shared" si="19"/>
        <v>157</v>
      </c>
      <c r="M16" s="84">
        <f t="shared" si="19"/>
        <v>137</v>
      </c>
      <c r="N16" s="84">
        <f t="shared" si="19"/>
        <v>162</v>
      </c>
      <c r="O16" s="84">
        <f t="shared" si="19"/>
        <v>222</v>
      </c>
      <c r="P16" s="84">
        <f t="shared" si="19"/>
        <v>157</v>
      </c>
      <c r="Q16" s="84">
        <f t="shared" si="19"/>
        <v>118</v>
      </c>
      <c r="R16" s="84">
        <f t="shared" si="19"/>
        <v>226</v>
      </c>
      <c r="S16" s="84">
        <f t="shared" si="19"/>
        <v>0</v>
      </c>
      <c r="T16" s="84">
        <f t="shared" si="19"/>
        <v>0</v>
      </c>
      <c r="U16" s="600">
        <f>SUM(U9:U15)</f>
        <v>1470</v>
      </c>
      <c r="V16" s="85">
        <f>SUM(V9:V15)</f>
        <v>31011</v>
      </c>
      <c r="W16" s="689">
        <f t="shared" si="3"/>
        <v>4.7402534584502276E-2</v>
      </c>
      <c r="X16" s="506">
        <f t="shared" si="4"/>
        <v>0.1</v>
      </c>
      <c r="Y16" s="506">
        <f t="shared" si="5"/>
        <v>6.9999999999999993E-2</v>
      </c>
      <c r="Z16" s="754">
        <f t="shared" si="0"/>
        <v>0.67717906549288975</v>
      </c>
      <c r="AA16" s="508">
        <f>+Z16*$AA$8/100</f>
        <v>2.9795878881687152E-2</v>
      </c>
      <c r="AB16" s="756">
        <f t="shared" si="7"/>
        <v>0.1</v>
      </c>
      <c r="AC16" s="542">
        <f t="shared" si="8"/>
        <v>4.7402534584502276E-2</v>
      </c>
      <c r="AD16" s="543">
        <f t="shared" si="9"/>
        <v>0.47402534584502276</v>
      </c>
      <c r="AE16" s="544">
        <f t="shared" si="10"/>
        <v>31011</v>
      </c>
      <c r="AF16" s="545">
        <f t="shared" si="11"/>
        <v>3101.1000000000004</v>
      </c>
      <c r="AG16" s="544">
        <f t="shared" si="12"/>
        <v>1470</v>
      </c>
      <c r="AH16" s="758">
        <f t="shared" si="13"/>
        <v>258.42500000000001</v>
      </c>
      <c r="AI16" s="544">
        <f t="shared" si="14"/>
        <v>2584.25</v>
      </c>
      <c r="AJ16" s="544">
        <f t="shared" si="15"/>
        <v>1470</v>
      </c>
      <c r="AK16" s="546">
        <f t="shared" si="16"/>
        <v>0.56883041501402731</v>
      </c>
      <c r="AL16" s="427">
        <f t="shared" si="17"/>
        <v>-1114.25</v>
      </c>
      <c r="AP16" s="141"/>
      <c r="AQ16" s="803">
        <f>SUM(AQ9:AQ15)</f>
        <v>34181</v>
      </c>
      <c r="AR16" s="804">
        <f>SUM(AR9:AR15)</f>
        <v>3170</v>
      </c>
      <c r="AS16" s="709">
        <f t="shared" ref="AS16" si="20">SUM(AS9:AS15)</f>
        <v>31011</v>
      </c>
      <c r="AT16" s="15"/>
      <c r="AU16" s="15"/>
      <c r="AV16" s="15"/>
      <c r="AW16" s="15"/>
      <c r="AX16" s="15"/>
      <c r="AY16" s="15"/>
      <c r="AZ16" s="15"/>
    </row>
    <row r="17" spans="3:52" x14ac:dyDescent="0.25">
      <c r="C17" s="64"/>
      <c r="D17" s="65"/>
      <c r="X17" s="18"/>
      <c r="AB17" s="121"/>
      <c r="AC17" s="121"/>
      <c r="AP17" s="141"/>
      <c r="AQ17" s="15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3:52" x14ac:dyDescent="0.25">
      <c r="AQ18" s="15"/>
      <c r="AT18" s="15"/>
      <c r="AU18" s="15"/>
    </row>
    <row r="19" spans="3:52" x14ac:dyDescent="0.25">
      <c r="AT19" s="15"/>
      <c r="AU19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S6"/>
    <mergeCell ref="H7:U7"/>
    <mergeCell ref="G1:AA1"/>
    <mergeCell ref="G2:W2"/>
    <mergeCell ref="X2:AA2"/>
    <mergeCell ref="H4:AA5"/>
    <mergeCell ref="H6:U6"/>
    <mergeCell ref="W6:W7"/>
    <mergeCell ref="X6:Y6"/>
    <mergeCell ref="Z6:AA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1BB2-2A76-44AF-A472-B8AF863F55E5}">
  <sheetPr codeName="Hoja11">
    <tabColor rgb="FF00B050"/>
  </sheetPr>
  <dimension ref="A1:AM35"/>
  <sheetViews>
    <sheetView tabSelected="1" zoomScale="70" zoomScaleNormal="70" workbookViewId="0">
      <selection activeCell="Y28" sqref="Y28"/>
    </sheetView>
  </sheetViews>
  <sheetFormatPr baseColWidth="10" defaultRowHeight="15" x14ac:dyDescent="0.25"/>
  <cols>
    <col min="1" max="4" width="1.140625" style="5" customWidth="1"/>
    <col min="5" max="5" width="3.28515625" style="6" customWidth="1"/>
    <col min="6" max="6" width="4.28515625" style="102" customWidth="1"/>
    <col min="7" max="7" width="31.140625" style="5" customWidth="1"/>
    <col min="8" max="8" width="7.28515625" style="5" customWidth="1"/>
    <col min="9" max="12" width="5.85546875" style="5" bestFit="1" customWidth="1"/>
    <col min="13" max="13" width="5.85546875" style="5" customWidth="1"/>
    <col min="14" max="16" width="5.85546875" style="5" bestFit="1" customWidth="1"/>
    <col min="17" max="17" width="6" style="5" bestFit="1" customWidth="1"/>
    <col min="18" max="18" width="4.85546875" style="5" bestFit="1" customWidth="1"/>
    <col min="19" max="19" width="5.5703125" style="5" bestFit="1" customWidth="1"/>
    <col min="20" max="20" width="4.42578125" style="5" bestFit="1" customWidth="1"/>
    <col min="21" max="21" width="8" style="5" bestFit="1" customWidth="1"/>
    <col min="22" max="22" width="27" style="5" bestFit="1" customWidth="1"/>
    <col min="23" max="23" width="14.85546875" style="6" customWidth="1"/>
    <col min="24" max="24" width="14.42578125" style="5" customWidth="1"/>
    <col min="25" max="25" width="18" style="5" customWidth="1"/>
    <col min="26" max="26" width="16.42578125" style="5" customWidth="1"/>
    <col min="27" max="27" width="15" style="57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6" customWidth="1"/>
    <col min="36" max="37" width="12.7109375" style="5" customWidth="1"/>
    <col min="38" max="38" width="12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5" t="str">
        <f>+NOMBRE!B7</f>
        <v>ENERO - OCTUBRE 2024</v>
      </c>
      <c r="Y2" s="905"/>
      <c r="Z2" s="905"/>
      <c r="AA2" s="905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906" t="s">
        <v>477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07"/>
      <c r="W4" s="907"/>
      <c r="X4" s="907"/>
      <c r="Y4" s="907"/>
      <c r="Z4" s="907"/>
      <c r="AA4" s="908"/>
      <c r="AB4" s="5"/>
      <c r="AC4" s="5"/>
      <c r="AE4" s="6"/>
      <c r="AG4" s="5"/>
      <c r="AH4" s="87" t="s">
        <v>45</v>
      </c>
      <c r="AI4" s="88">
        <v>12</v>
      </c>
      <c r="AJ4" s="6"/>
      <c r="AK4" s="6"/>
      <c r="AL4" s="5"/>
    </row>
    <row r="5" spans="1:39" ht="23.25" customHeight="1" thickBot="1" x14ac:dyDescent="0.3">
      <c r="G5" s="58"/>
      <c r="H5" s="909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1"/>
      <c r="AB5" s="5"/>
      <c r="AC5" s="5"/>
      <c r="AE5" s="6"/>
      <c r="AG5" s="5"/>
      <c r="AH5" s="87" t="s">
        <v>46</v>
      </c>
      <c r="AI5" s="88">
        <f>meta3!AB2</f>
        <v>10</v>
      </c>
      <c r="AJ5" s="6"/>
      <c r="AL5" s="5"/>
    </row>
    <row r="6" spans="1:39" ht="77.25" thickBot="1" x14ac:dyDescent="0.3">
      <c r="G6" s="58"/>
      <c r="H6" s="933" t="s">
        <v>4</v>
      </c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5"/>
      <c r="V6" s="61" t="s">
        <v>5</v>
      </c>
      <c r="W6" s="912" t="s">
        <v>6</v>
      </c>
      <c r="X6" s="914">
        <f>+NOMBRE!$B$9</f>
        <v>2024</v>
      </c>
      <c r="Y6" s="915"/>
      <c r="Z6" s="916" t="s">
        <v>7</v>
      </c>
      <c r="AA6" s="917"/>
      <c r="AB6" s="89" t="s">
        <v>47</v>
      </c>
      <c r="AC6" s="89" t="s">
        <v>48</v>
      </c>
      <c r="AD6" s="89" t="s">
        <v>49</v>
      </c>
      <c r="AE6" s="89" t="s">
        <v>50</v>
      </c>
      <c r="AF6" s="89" t="s">
        <v>51</v>
      </c>
      <c r="AG6" s="89" t="s">
        <v>52</v>
      </c>
      <c r="AH6" s="89" t="s">
        <v>45</v>
      </c>
      <c r="AI6" s="89" t="s">
        <v>53</v>
      </c>
      <c r="AJ6" s="89" t="s">
        <v>54</v>
      </c>
      <c r="AK6" s="89" t="s">
        <v>55</v>
      </c>
      <c r="AL6" s="89" t="s">
        <v>56</v>
      </c>
    </row>
    <row r="7" spans="1:39" ht="99.75" thickBot="1" x14ac:dyDescent="0.3">
      <c r="G7" s="603" t="s">
        <v>431</v>
      </c>
      <c r="H7" s="918" t="s">
        <v>91</v>
      </c>
      <c r="I7" s="919"/>
      <c r="J7" s="919"/>
      <c r="K7" s="919"/>
      <c r="L7" s="919"/>
      <c r="M7" s="919"/>
      <c r="N7" s="919"/>
      <c r="O7" s="919"/>
      <c r="P7" s="919"/>
      <c r="Q7" s="919"/>
      <c r="R7" s="919"/>
      <c r="S7" s="919"/>
      <c r="T7" s="919"/>
      <c r="U7" s="920"/>
      <c r="V7" s="11" t="s">
        <v>92</v>
      </c>
      <c r="W7" s="913"/>
      <c r="X7" s="12" t="s">
        <v>11</v>
      </c>
      <c r="Y7" s="12" t="s">
        <v>43</v>
      </c>
      <c r="Z7" s="14" t="s">
        <v>13</v>
      </c>
      <c r="AA7" s="14" t="s">
        <v>44</v>
      </c>
      <c r="AB7" s="90" t="s">
        <v>57</v>
      </c>
      <c r="AC7" s="90" t="s">
        <v>58</v>
      </c>
      <c r="AD7" s="90" t="s">
        <v>59</v>
      </c>
      <c r="AE7" s="91" t="s">
        <v>60</v>
      </c>
      <c r="AF7" s="91" t="s">
        <v>61</v>
      </c>
      <c r="AG7" s="91" t="s">
        <v>62</v>
      </c>
      <c r="AH7" s="91" t="s">
        <v>63</v>
      </c>
      <c r="AI7" s="91" t="s">
        <v>64</v>
      </c>
      <c r="AJ7" s="91" t="s">
        <v>65</v>
      </c>
      <c r="AK7" s="92" t="s">
        <v>66</v>
      </c>
      <c r="AL7" s="92" t="s">
        <v>67</v>
      </c>
    </row>
    <row r="8" spans="1:39" ht="50.25" customHeight="1" thickBot="1" x14ac:dyDescent="0.3">
      <c r="G8" s="435"/>
      <c r="H8" s="436"/>
      <c r="I8" s="461" t="s">
        <v>189</v>
      </c>
      <c r="J8" s="462" t="s">
        <v>190</v>
      </c>
      <c r="K8" s="462" t="s">
        <v>191</v>
      </c>
      <c r="L8" s="462" t="s">
        <v>192</v>
      </c>
      <c r="M8" s="462" t="s">
        <v>193</v>
      </c>
      <c r="N8" s="462" t="s">
        <v>194</v>
      </c>
      <c r="O8" s="462" t="s">
        <v>195</v>
      </c>
      <c r="P8" s="462" t="s">
        <v>196</v>
      </c>
      <c r="Q8" s="462" t="s">
        <v>423</v>
      </c>
      <c r="R8" s="462" t="s">
        <v>198</v>
      </c>
      <c r="S8" s="462" t="s">
        <v>199</v>
      </c>
      <c r="T8" s="462" t="s">
        <v>200</v>
      </c>
      <c r="U8" s="423" t="s">
        <v>201</v>
      </c>
      <c r="V8" s="478"/>
      <c r="W8" s="645"/>
      <c r="X8" s="480">
        <f>indicadores!E25</f>
        <v>0.39</v>
      </c>
      <c r="Y8" s="480">
        <f>indicadores!$D$54</f>
        <v>0.7</v>
      </c>
      <c r="Z8" s="471"/>
      <c r="AA8" s="471"/>
      <c r="AB8" s="93" t="s">
        <v>68</v>
      </c>
      <c r="AC8" s="93" t="s">
        <v>69</v>
      </c>
      <c r="AD8" s="93" t="s">
        <v>70</v>
      </c>
      <c r="AE8" s="519" t="s">
        <v>71</v>
      </c>
      <c r="AF8" s="519" t="s">
        <v>72</v>
      </c>
      <c r="AG8" s="519" t="s">
        <v>73</v>
      </c>
      <c r="AH8" s="519" t="s">
        <v>74</v>
      </c>
      <c r="AI8" s="519" t="s">
        <v>75</v>
      </c>
      <c r="AJ8" s="519" t="s">
        <v>76</v>
      </c>
      <c r="AK8" s="93" t="s">
        <v>77</v>
      </c>
      <c r="AL8" s="93" t="s">
        <v>78</v>
      </c>
    </row>
    <row r="9" spans="1:39" ht="15" customHeight="1" x14ac:dyDescent="0.3">
      <c r="A9"/>
      <c r="B9"/>
      <c r="C9" s="64"/>
      <c r="D9" s="65"/>
      <c r="E9" s="66"/>
      <c r="F9" s="105"/>
      <c r="G9" s="19" t="s">
        <v>432</v>
      </c>
      <c r="H9" s="68"/>
      <c r="I9" s="79">
        <f>REMA!AL6</f>
        <v>264</v>
      </c>
      <c r="J9" s="79">
        <f>REMA!AM6</f>
        <v>151</v>
      </c>
      <c r="K9" s="79">
        <f>REMA!AN6</f>
        <v>129</v>
      </c>
      <c r="L9" s="79">
        <f>REMA!AO6</f>
        <v>249</v>
      </c>
      <c r="M9" s="79">
        <f>REMA!AP6</f>
        <v>200</v>
      </c>
      <c r="N9" s="79">
        <f>REMA!AQ6</f>
        <v>213</v>
      </c>
      <c r="O9" s="79">
        <f>REMA!AR6</f>
        <v>284</v>
      </c>
      <c r="P9" s="79">
        <f>REMA!AS6</f>
        <v>210</v>
      </c>
      <c r="Q9" s="79">
        <f>REMA!AT6</f>
        <v>252</v>
      </c>
      <c r="R9" s="79">
        <f>REMA!AU6</f>
        <v>281</v>
      </c>
      <c r="S9" s="79">
        <f>REMA!AV6</f>
        <v>0</v>
      </c>
      <c r="T9" s="79">
        <f>REMA!AW6</f>
        <v>0</v>
      </c>
      <c r="U9" s="476">
        <f>SUM(I9:T9)</f>
        <v>2233</v>
      </c>
      <c r="V9" s="80">
        <f>Poblacion2024!Q6</f>
        <v>9256.0860000000011</v>
      </c>
      <c r="W9" s="45">
        <f>IF(V9=0,0,+U9/V9)</f>
        <v>0.24124667813155579</v>
      </c>
      <c r="X9" s="46">
        <f>$X$8</f>
        <v>0.39</v>
      </c>
      <c r="Y9" s="46">
        <f>+X9*$Y$8</f>
        <v>0.27299999999999996</v>
      </c>
      <c r="Z9" s="143">
        <f t="shared" ref="Z9:Z16" si="0">IF(+W9/Y9&gt;1,1,+W9/Y9)</f>
        <v>0.88368746568335466</v>
      </c>
      <c r="AA9" s="77">
        <f>+Z9*6.82/100</f>
        <v>6.026748515960479E-2</v>
      </c>
      <c r="AB9" s="144">
        <f>X9</f>
        <v>0.39</v>
      </c>
      <c r="AC9" s="144">
        <f>(AG9/AE9)</f>
        <v>0.24124667813155579</v>
      </c>
      <c r="AD9" s="145">
        <f>AC9/AB9</f>
        <v>0.61858122597834819</v>
      </c>
      <c r="AE9" s="496">
        <f>V9</f>
        <v>9256.0860000000011</v>
      </c>
      <c r="AF9" s="497">
        <f>AE9*AB9</f>
        <v>3609.8735400000005</v>
      </c>
      <c r="AG9" s="496">
        <f>U9</f>
        <v>2233</v>
      </c>
      <c r="AH9" s="497">
        <f>AF9/$AI$4</f>
        <v>300.82279500000004</v>
      </c>
      <c r="AI9" s="497">
        <f>AH9*$AI$5</f>
        <v>3008.2279500000004</v>
      </c>
      <c r="AJ9" s="497">
        <f>U9</f>
        <v>2233</v>
      </c>
      <c r="AK9" s="98">
        <f>AJ9/AI9</f>
        <v>0.74229747117401779</v>
      </c>
      <c r="AL9" s="427">
        <f>(AI9-AJ9)*-1</f>
        <v>-775.22795000000042</v>
      </c>
    </row>
    <row r="10" spans="1:39" ht="15" customHeight="1" x14ac:dyDescent="0.3">
      <c r="A10"/>
      <c r="B10"/>
      <c r="C10" s="64"/>
      <c r="D10" s="65"/>
      <c r="E10" s="66"/>
      <c r="F10" s="105"/>
      <c r="G10" s="19" t="s">
        <v>433</v>
      </c>
      <c r="H10" s="73"/>
      <c r="I10" s="73">
        <f>REMA!AL7</f>
        <v>102</v>
      </c>
      <c r="J10" s="73">
        <f>REMA!AM7</f>
        <v>47</v>
      </c>
      <c r="K10" s="73">
        <f>REMA!AN7</f>
        <v>53</v>
      </c>
      <c r="L10" s="73">
        <f>REMA!AO7</f>
        <v>111</v>
      </c>
      <c r="M10" s="73">
        <f>REMA!AP7</f>
        <v>130</v>
      </c>
      <c r="N10" s="73">
        <f>REMA!AQ7</f>
        <v>106</v>
      </c>
      <c r="O10" s="73">
        <f>REMA!AR7</f>
        <v>158</v>
      </c>
      <c r="P10" s="73">
        <f>REMA!AS7</f>
        <v>156</v>
      </c>
      <c r="Q10" s="73">
        <f>REMA!AT7</f>
        <v>140</v>
      </c>
      <c r="R10" s="73">
        <f>REMA!AU7</f>
        <v>203</v>
      </c>
      <c r="S10" s="73">
        <f>REMA!AV7</f>
        <v>0</v>
      </c>
      <c r="T10" s="73">
        <f>REMA!AW7</f>
        <v>0</v>
      </c>
      <c r="U10" s="476">
        <f t="shared" ref="U10:U15" si="1">SUM(I10:T10)</f>
        <v>1206</v>
      </c>
      <c r="V10" s="74">
        <f>Poblacion2024!Q7</f>
        <v>4292</v>
      </c>
      <c r="W10" s="40">
        <f t="shared" ref="W10:W16" si="2">IF(V10=0,0,+U10/V10)</f>
        <v>0.2809878844361603</v>
      </c>
      <c r="X10" s="42">
        <f t="shared" ref="X10:X16" si="3">$X$8</f>
        <v>0.39</v>
      </c>
      <c r="Y10" s="46">
        <f t="shared" ref="Y10:Y16" si="4">+X10*$Y$8</f>
        <v>0.27299999999999996</v>
      </c>
      <c r="Z10" s="112">
        <f t="shared" si="0"/>
        <v>1</v>
      </c>
      <c r="AA10" s="77">
        <f t="shared" ref="AA10:AA16" si="5">+Z10*6.25/100</f>
        <v>6.25E-2</v>
      </c>
      <c r="AB10" s="144">
        <f t="shared" ref="AB10:AB16" si="6">X10</f>
        <v>0.39</v>
      </c>
      <c r="AC10" s="144">
        <f t="shared" ref="AC10:AC16" si="7">(AG10/AE10)</f>
        <v>0.2809878844361603</v>
      </c>
      <c r="AD10" s="145">
        <f t="shared" ref="AD10:AD16" si="8">AC10/AB10</f>
        <v>0.7204817549645135</v>
      </c>
      <c r="AE10" s="496">
        <f t="shared" ref="AE10:AE16" si="9">V10</f>
        <v>4292</v>
      </c>
      <c r="AF10" s="497">
        <f t="shared" ref="AF10:AF16" si="10">AE10*AB10</f>
        <v>1673.88</v>
      </c>
      <c r="AG10" s="496">
        <f t="shared" ref="AG10:AG16" si="11">U10</f>
        <v>1206</v>
      </c>
      <c r="AH10" s="497">
        <f t="shared" ref="AH10:AH16" si="12">AF10/$AI$4</f>
        <v>139.49</v>
      </c>
      <c r="AI10" s="497">
        <f t="shared" ref="AI10:AI16" si="13">AH10*$AI$5</f>
        <v>1394.9</v>
      </c>
      <c r="AJ10" s="497">
        <f t="shared" ref="AJ10:AJ16" si="14">U10</f>
        <v>1206</v>
      </c>
      <c r="AK10" s="98">
        <f t="shared" ref="AK10:AK16" si="15">AJ10/AI10</f>
        <v>0.86457810595741624</v>
      </c>
      <c r="AL10" s="427">
        <f t="shared" ref="AL10:AL16" si="16">(AI10-AJ10)*-1</f>
        <v>-188.90000000000009</v>
      </c>
    </row>
    <row r="11" spans="1:39" ht="15" customHeight="1" x14ac:dyDescent="0.3">
      <c r="A11"/>
      <c r="B11"/>
      <c r="C11" s="64"/>
      <c r="D11" s="65"/>
      <c r="E11" s="66"/>
      <c r="F11" s="105"/>
      <c r="G11" s="19" t="s">
        <v>434</v>
      </c>
      <c r="H11" s="73"/>
      <c r="I11" s="73">
        <f>REMA!AL8</f>
        <v>72</v>
      </c>
      <c r="J11" s="73">
        <f>REMA!AM8</f>
        <v>47</v>
      </c>
      <c r="K11" s="73">
        <f>REMA!AN8</f>
        <v>55</v>
      </c>
      <c r="L11" s="73">
        <f>REMA!AO8</f>
        <v>67</v>
      </c>
      <c r="M11" s="73">
        <f>REMA!AP8</f>
        <v>87</v>
      </c>
      <c r="N11" s="73">
        <f>REMA!AQ8</f>
        <v>170</v>
      </c>
      <c r="O11" s="73">
        <f>REMA!AR8</f>
        <v>133</v>
      </c>
      <c r="P11" s="73">
        <f>REMA!AS8</f>
        <v>89</v>
      </c>
      <c r="Q11" s="73">
        <f>REMA!AT8</f>
        <v>75</v>
      </c>
      <c r="R11" s="73">
        <f>REMA!AU8</f>
        <v>115</v>
      </c>
      <c r="S11" s="73">
        <f>REMA!AV8</f>
        <v>0</v>
      </c>
      <c r="T11" s="73">
        <f>REMA!AW8</f>
        <v>0</v>
      </c>
      <c r="U11" s="476">
        <f t="shared" si="1"/>
        <v>910</v>
      </c>
      <c r="V11" s="74">
        <f>Poblacion2024!Q8</f>
        <v>2583</v>
      </c>
      <c r="W11" s="40">
        <f t="shared" si="2"/>
        <v>0.35230352303523033</v>
      </c>
      <c r="X11" s="42">
        <f t="shared" si="3"/>
        <v>0.39</v>
      </c>
      <c r="Y11" s="46">
        <f t="shared" si="4"/>
        <v>0.27299999999999996</v>
      </c>
      <c r="Z11" s="112">
        <f t="shared" si="0"/>
        <v>1</v>
      </c>
      <c r="AA11" s="77">
        <f t="shared" si="5"/>
        <v>6.25E-2</v>
      </c>
      <c r="AB11" s="144">
        <f t="shared" si="6"/>
        <v>0.39</v>
      </c>
      <c r="AC11" s="144">
        <f t="shared" si="7"/>
        <v>0.35230352303523033</v>
      </c>
      <c r="AD11" s="145">
        <f t="shared" si="8"/>
        <v>0.90334236675700086</v>
      </c>
      <c r="AE11" s="496">
        <f t="shared" si="9"/>
        <v>2583</v>
      </c>
      <c r="AF11" s="497">
        <f t="shared" si="10"/>
        <v>1007.37</v>
      </c>
      <c r="AG11" s="496">
        <f t="shared" si="11"/>
        <v>910</v>
      </c>
      <c r="AH11" s="497">
        <f t="shared" si="12"/>
        <v>83.947500000000005</v>
      </c>
      <c r="AI11" s="497">
        <f t="shared" si="13"/>
        <v>839.47500000000002</v>
      </c>
      <c r="AJ11" s="497">
        <f t="shared" si="14"/>
        <v>910</v>
      </c>
      <c r="AK11" s="98">
        <f t="shared" si="15"/>
        <v>1.084010840108401</v>
      </c>
      <c r="AL11" s="427">
        <f t="shared" si="16"/>
        <v>70.524999999999977</v>
      </c>
    </row>
    <row r="12" spans="1:39" ht="15" customHeight="1" x14ac:dyDescent="0.3">
      <c r="A12"/>
      <c r="B12"/>
      <c r="C12" s="64"/>
      <c r="D12" s="65"/>
      <c r="E12" s="66"/>
      <c r="F12" s="105"/>
      <c r="G12" s="19" t="s">
        <v>435</v>
      </c>
      <c r="H12" s="73"/>
      <c r="I12" s="73">
        <f>REMA!AL9</f>
        <v>126</v>
      </c>
      <c r="J12" s="73">
        <f>REMA!AM9</f>
        <v>52</v>
      </c>
      <c r="K12" s="73">
        <f>REMA!AN9</f>
        <v>82</v>
      </c>
      <c r="L12" s="73">
        <f>REMA!AO9</f>
        <v>89</v>
      </c>
      <c r="M12" s="73">
        <f>REMA!AP9</f>
        <v>96</v>
      </c>
      <c r="N12" s="73">
        <f>REMA!AQ9</f>
        <v>77</v>
      </c>
      <c r="O12" s="73">
        <f>REMA!AR9</f>
        <v>103</v>
      </c>
      <c r="P12" s="73">
        <f>REMA!AS9</f>
        <v>122</v>
      </c>
      <c r="Q12" s="73">
        <f>REMA!AT9</f>
        <v>72</v>
      </c>
      <c r="R12" s="73">
        <f>REMA!AU9</f>
        <v>144</v>
      </c>
      <c r="S12" s="73">
        <f>REMA!AV9</f>
        <v>0</v>
      </c>
      <c r="T12" s="73">
        <f>REMA!AW9</f>
        <v>0</v>
      </c>
      <c r="U12" s="476">
        <f t="shared" si="1"/>
        <v>963</v>
      </c>
      <c r="V12" s="74">
        <f>Poblacion2024!Q9</f>
        <v>2876.8032000000003</v>
      </c>
      <c r="W12" s="40">
        <f t="shared" si="2"/>
        <v>0.33474656869124725</v>
      </c>
      <c r="X12" s="42">
        <f t="shared" si="3"/>
        <v>0.39</v>
      </c>
      <c r="Y12" s="46">
        <f t="shared" si="4"/>
        <v>0.27299999999999996</v>
      </c>
      <c r="Z12" s="112">
        <f t="shared" si="0"/>
        <v>1</v>
      </c>
      <c r="AA12" s="77">
        <f t="shared" si="5"/>
        <v>6.25E-2</v>
      </c>
      <c r="AB12" s="144">
        <f t="shared" si="6"/>
        <v>0.39</v>
      </c>
      <c r="AC12" s="144">
        <f t="shared" si="7"/>
        <v>0.33474656869124725</v>
      </c>
      <c r="AD12" s="145">
        <f t="shared" si="8"/>
        <v>0.85832453510576212</v>
      </c>
      <c r="AE12" s="496">
        <f t="shared" si="9"/>
        <v>2876.8032000000003</v>
      </c>
      <c r="AF12" s="497">
        <f t="shared" si="10"/>
        <v>1121.9532480000003</v>
      </c>
      <c r="AG12" s="496">
        <f t="shared" si="11"/>
        <v>963</v>
      </c>
      <c r="AH12" s="497">
        <f t="shared" si="12"/>
        <v>93.496104000000017</v>
      </c>
      <c r="AI12" s="497">
        <f t="shared" si="13"/>
        <v>934.96104000000014</v>
      </c>
      <c r="AJ12" s="497">
        <f t="shared" si="14"/>
        <v>963</v>
      </c>
      <c r="AK12" s="98">
        <f t="shared" si="15"/>
        <v>1.0299894421269147</v>
      </c>
      <c r="AL12" s="427">
        <f t="shared" si="16"/>
        <v>28.038959999999861</v>
      </c>
    </row>
    <row r="13" spans="1:39" ht="15" customHeight="1" x14ac:dyDescent="0.3">
      <c r="A13"/>
      <c r="B13"/>
      <c r="C13" s="64"/>
      <c r="D13" s="65"/>
      <c r="E13" s="66"/>
      <c r="F13" s="105"/>
      <c r="G13" s="19" t="s">
        <v>436</v>
      </c>
      <c r="H13" s="73"/>
      <c r="I13" s="73">
        <f>REMA!AL10</f>
        <v>195</v>
      </c>
      <c r="J13" s="73">
        <f>REMA!AM10</f>
        <v>54</v>
      </c>
      <c r="K13" s="73">
        <f>REMA!AN10</f>
        <v>38</v>
      </c>
      <c r="L13" s="73">
        <f>REMA!AO10</f>
        <v>79</v>
      </c>
      <c r="M13" s="73">
        <f>REMA!AP10</f>
        <v>117</v>
      </c>
      <c r="N13" s="73">
        <f>REMA!AQ10</f>
        <v>99</v>
      </c>
      <c r="O13" s="73">
        <f>REMA!AR10</f>
        <v>80</v>
      </c>
      <c r="P13" s="73">
        <f>REMA!AS10</f>
        <v>61</v>
      </c>
      <c r="Q13" s="73">
        <f>REMA!AT10</f>
        <v>132</v>
      </c>
      <c r="R13" s="73">
        <f>REMA!AU10</f>
        <v>72</v>
      </c>
      <c r="S13" s="73">
        <f>REMA!AV10</f>
        <v>0</v>
      </c>
      <c r="T13" s="73">
        <f>REMA!AW10</f>
        <v>0</v>
      </c>
      <c r="U13" s="476">
        <f t="shared" si="1"/>
        <v>927</v>
      </c>
      <c r="V13" s="74">
        <f>Poblacion2024!Q10</f>
        <v>2707</v>
      </c>
      <c r="W13" s="40">
        <f t="shared" si="2"/>
        <v>0.34244551163649795</v>
      </c>
      <c r="X13" s="42">
        <f t="shared" si="3"/>
        <v>0.39</v>
      </c>
      <c r="Y13" s="46">
        <f t="shared" si="4"/>
        <v>0.27299999999999996</v>
      </c>
      <c r="Z13" s="112">
        <f t="shared" si="0"/>
        <v>1</v>
      </c>
      <c r="AA13" s="77">
        <f t="shared" si="5"/>
        <v>6.25E-2</v>
      </c>
      <c r="AB13" s="144">
        <f t="shared" si="6"/>
        <v>0.39</v>
      </c>
      <c r="AC13" s="144">
        <f t="shared" si="7"/>
        <v>0.34244551163649795</v>
      </c>
      <c r="AD13" s="145">
        <f t="shared" si="8"/>
        <v>0.87806541445255881</v>
      </c>
      <c r="AE13" s="496">
        <f t="shared" si="9"/>
        <v>2707</v>
      </c>
      <c r="AF13" s="497">
        <f t="shared" si="10"/>
        <v>1055.73</v>
      </c>
      <c r="AG13" s="496">
        <f t="shared" si="11"/>
        <v>927</v>
      </c>
      <c r="AH13" s="497">
        <f t="shared" si="12"/>
        <v>87.977500000000006</v>
      </c>
      <c r="AI13" s="497">
        <f t="shared" si="13"/>
        <v>879.77500000000009</v>
      </c>
      <c r="AJ13" s="497">
        <f t="shared" si="14"/>
        <v>927</v>
      </c>
      <c r="AK13" s="98">
        <f t="shared" si="15"/>
        <v>1.0536784973430706</v>
      </c>
      <c r="AL13" s="427">
        <f t="shared" si="16"/>
        <v>47.224999999999909</v>
      </c>
    </row>
    <row r="14" spans="1:39" ht="15" customHeight="1" x14ac:dyDescent="0.3">
      <c r="A14"/>
      <c r="B14"/>
      <c r="C14" s="64"/>
      <c r="D14" s="65"/>
      <c r="E14" s="66"/>
      <c r="F14" s="105"/>
      <c r="G14" s="19" t="s">
        <v>437</v>
      </c>
      <c r="H14" s="73"/>
      <c r="I14" s="73">
        <f>REMA!AL11</f>
        <v>10</v>
      </c>
      <c r="J14" s="73">
        <f>REMA!AM11</f>
        <v>3</v>
      </c>
      <c r="K14" s="73">
        <f>REMA!AN11</f>
        <v>3</v>
      </c>
      <c r="L14" s="73">
        <f>REMA!AO11</f>
        <v>12</v>
      </c>
      <c r="M14" s="73">
        <f>REMA!AP11</f>
        <v>9</v>
      </c>
      <c r="N14" s="73">
        <f>REMA!AQ11</f>
        <v>3</v>
      </c>
      <c r="O14" s="73">
        <f>REMA!AR11</f>
        <v>19</v>
      </c>
      <c r="P14" s="73">
        <f>REMA!AS11</f>
        <v>0</v>
      </c>
      <c r="Q14" s="73">
        <f>REMA!AT11</f>
        <v>7</v>
      </c>
      <c r="R14" s="73">
        <f>REMA!AU11</f>
        <v>1</v>
      </c>
      <c r="S14" s="73">
        <f>REMA!AV11</f>
        <v>0</v>
      </c>
      <c r="T14" s="73">
        <f>REMA!AW11</f>
        <v>0</v>
      </c>
      <c r="U14" s="476">
        <f t="shared" si="1"/>
        <v>67</v>
      </c>
      <c r="V14" s="74">
        <f>Poblacion2024!Q11</f>
        <v>121.91399999999999</v>
      </c>
      <c r="W14" s="40">
        <f t="shared" si="2"/>
        <v>0.54956772807060716</v>
      </c>
      <c r="X14" s="42">
        <f t="shared" si="3"/>
        <v>0.39</v>
      </c>
      <c r="Y14" s="46">
        <f t="shared" si="4"/>
        <v>0.27299999999999996</v>
      </c>
      <c r="Z14" s="112">
        <f t="shared" si="0"/>
        <v>1</v>
      </c>
      <c r="AA14" s="77">
        <f t="shared" si="5"/>
        <v>6.25E-2</v>
      </c>
      <c r="AB14" s="144">
        <f t="shared" si="6"/>
        <v>0.39</v>
      </c>
      <c r="AC14" s="144">
        <f t="shared" si="7"/>
        <v>0.54956772807060716</v>
      </c>
      <c r="AD14" s="145">
        <f t="shared" si="8"/>
        <v>1.4091480206938645</v>
      </c>
      <c r="AE14" s="496">
        <f t="shared" si="9"/>
        <v>121.91399999999999</v>
      </c>
      <c r="AF14" s="497">
        <f t="shared" si="10"/>
        <v>47.546459999999996</v>
      </c>
      <c r="AG14" s="496">
        <f t="shared" si="11"/>
        <v>67</v>
      </c>
      <c r="AH14" s="497">
        <f t="shared" si="12"/>
        <v>3.9622049999999995</v>
      </c>
      <c r="AI14" s="497">
        <f t="shared" si="13"/>
        <v>39.622049999999994</v>
      </c>
      <c r="AJ14" s="497">
        <f t="shared" si="14"/>
        <v>67</v>
      </c>
      <c r="AK14" s="98">
        <f t="shared" si="15"/>
        <v>1.6909776248326376</v>
      </c>
      <c r="AL14" s="427">
        <f t="shared" si="16"/>
        <v>27.377950000000006</v>
      </c>
    </row>
    <row r="15" spans="1:39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113"/>
      <c r="I15" s="113">
        <f>REMA!AL12</f>
        <v>47</v>
      </c>
      <c r="J15" s="113">
        <f>REMA!AM12</f>
        <v>43</v>
      </c>
      <c r="K15" s="113">
        <f>REMA!AN12</f>
        <v>42</v>
      </c>
      <c r="L15" s="113">
        <f>REMA!AO12</f>
        <v>28</v>
      </c>
      <c r="M15" s="113">
        <f>REMA!AP12</f>
        <v>8</v>
      </c>
      <c r="N15" s="113">
        <f>REMA!AQ12</f>
        <v>29</v>
      </c>
      <c r="O15" s="113">
        <f>REMA!AR12</f>
        <v>26</v>
      </c>
      <c r="P15" s="113">
        <f>REMA!AS12</f>
        <v>42</v>
      </c>
      <c r="Q15" s="113">
        <f>REMA!AT12</f>
        <v>26</v>
      </c>
      <c r="R15" s="113">
        <f>REMA!AU12</f>
        <v>30</v>
      </c>
      <c r="S15" s="113">
        <f>REMA!AV12</f>
        <v>0</v>
      </c>
      <c r="T15" s="113">
        <f>REMA!AW12</f>
        <v>0</v>
      </c>
      <c r="U15" s="597">
        <f t="shared" si="1"/>
        <v>321</v>
      </c>
      <c r="V15" s="114">
        <f>Poblacion2024!Q12</f>
        <v>759.19680000000005</v>
      </c>
      <c r="W15" s="54">
        <f t="shared" si="2"/>
        <v>0.42281527003275038</v>
      </c>
      <c r="X15" s="55">
        <f t="shared" si="3"/>
        <v>0.39</v>
      </c>
      <c r="Y15" s="746">
        <f t="shared" si="4"/>
        <v>0.27299999999999996</v>
      </c>
      <c r="Z15" s="115">
        <f t="shared" si="0"/>
        <v>1</v>
      </c>
      <c r="AA15" s="77">
        <f t="shared" si="5"/>
        <v>6.25E-2</v>
      </c>
      <c r="AB15" s="539">
        <f t="shared" si="6"/>
        <v>0.39</v>
      </c>
      <c r="AC15" s="539">
        <f t="shared" si="7"/>
        <v>0.42281527003275038</v>
      </c>
      <c r="AD15" s="540">
        <f t="shared" si="8"/>
        <v>1.0841417180326933</v>
      </c>
      <c r="AE15" s="598">
        <f t="shared" si="9"/>
        <v>759.19680000000005</v>
      </c>
      <c r="AF15" s="599">
        <f t="shared" si="10"/>
        <v>296.08675200000005</v>
      </c>
      <c r="AG15" s="598">
        <f t="shared" si="11"/>
        <v>321</v>
      </c>
      <c r="AH15" s="497">
        <f t="shared" si="12"/>
        <v>24.673896000000003</v>
      </c>
      <c r="AI15" s="599">
        <f t="shared" si="13"/>
        <v>246.73896000000002</v>
      </c>
      <c r="AJ15" s="599">
        <f t="shared" si="14"/>
        <v>321</v>
      </c>
      <c r="AK15" s="541">
        <f t="shared" si="15"/>
        <v>1.3009700616392319</v>
      </c>
      <c r="AL15" s="427">
        <f t="shared" si="16"/>
        <v>74.26103999999998</v>
      </c>
    </row>
    <row r="16" spans="1:39" ht="18" thickBot="1" x14ac:dyDescent="0.35">
      <c r="A16"/>
      <c r="B16"/>
      <c r="C16" s="64"/>
      <c r="D16" s="65"/>
      <c r="E16" s="66"/>
      <c r="F16" s="105"/>
      <c r="G16" s="538" t="s">
        <v>15</v>
      </c>
      <c r="H16" s="84"/>
      <c r="I16" s="84">
        <f>SUM(I9:I15)</f>
        <v>816</v>
      </c>
      <c r="J16" s="84">
        <f t="shared" ref="J16:T16" si="17">SUM(J9:J15)</f>
        <v>397</v>
      </c>
      <c r="K16" s="84">
        <f t="shared" si="17"/>
        <v>402</v>
      </c>
      <c r="L16" s="84">
        <f t="shared" si="17"/>
        <v>635</v>
      </c>
      <c r="M16" s="84">
        <f t="shared" si="17"/>
        <v>647</v>
      </c>
      <c r="N16" s="84">
        <f t="shared" si="17"/>
        <v>697</v>
      </c>
      <c r="O16" s="84">
        <f t="shared" si="17"/>
        <v>803</v>
      </c>
      <c r="P16" s="84">
        <f t="shared" si="17"/>
        <v>680</v>
      </c>
      <c r="Q16" s="84">
        <f t="shared" si="17"/>
        <v>704</v>
      </c>
      <c r="R16" s="84">
        <f t="shared" si="17"/>
        <v>846</v>
      </c>
      <c r="S16" s="84">
        <f t="shared" si="17"/>
        <v>0</v>
      </c>
      <c r="T16" s="84">
        <f t="shared" si="17"/>
        <v>0</v>
      </c>
      <c r="U16" s="600">
        <f>SUM(U9:U15)</f>
        <v>6627</v>
      </c>
      <c r="V16" s="536">
        <f>SUM(V9:V15)</f>
        <v>22596.000000000004</v>
      </c>
      <c r="W16" s="475">
        <f t="shared" si="2"/>
        <v>0.29328199681359529</v>
      </c>
      <c r="X16" s="506">
        <f t="shared" si="3"/>
        <v>0.39</v>
      </c>
      <c r="Y16" s="506">
        <f t="shared" si="4"/>
        <v>0.27299999999999996</v>
      </c>
      <c r="Z16" s="507">
        <f t="shared" si="0"/>
        <v>1</v>
      </c>
      <c r="AA16" s="508">
        <f t="shared" si="5"/>
        <v>6.25E-2</v>
      </c>
      <c r="AB16" s="542">
        <f t="shared" si="6"/>
        <v>0.39</v>
      </c>
      <c r="AC16" s="542">
        <f t="shared" si="7"/>
        <v>0.29328199681359529</v>
      </c>
      <c r="AD16" s="543">
        <f t="shared" si="8"/>
        <v>0.75200512003485964</v>
      </c>
      <c r="AE16" s="601">
        <f t="shared" si="9"/>
        <v>22596.000000000004</v>
      </c>
      <c r="AF16" s="602">
        <f t="shared" si="10"/>
        <v>8812.4400000000023</v>
      </c>
      <c r="AG16" s="601">
        <f t="shared" si="11"/>
        <v>6627</v>
      </c>
      <c r="AH16" s="497">
        <f t="shared" si="12"/>
        <v>734.37000000000023</v>
      </c>
      <c r="AI16" s="601">
        <f t="shared" si="13"/>
        <v>7343.7000000000025</v>
      </c>
      <c r="AJ16" s="601">
        <f t="shared" si="14"/>
        <v>6627</v>
      </c>
      <c r="AK16" s="546">
        <f t="shared" si="15"/>
        <v>0.9024061440418315</v>
      </c>
      <c r="AL16" s="427">
        <f t="shared" si="16"/>
        <v>-716.70000000000255</v>
      </c>
    </row>
    <row r="17" spans="3:24" x14ac:dyDescent="0.25">
      <c r="C17" s="64"/>
      <c r="D17" s="65"/>
      <c r="X17" s="57"/>
    </row>
    <row r="28" spans="3:24" x14ac:dyDescent="0.25">
      <c r="E28" s="146" t="s">
        <v>93</v>
      </c>
      <c r="F28" s="147" t="s">
        <v>94</v>
      </c>
    </row>
    <row r="29" spans="3:24" x14ac:dyDescent="0.25">
      <c r="E29" s="148">
        <v>107307</v>
      </c>
      <c r="F29" s="149" t="s">
        <v>95</v>
      </c>
    </row>
    <row r="30" spans="3:24" x14ac:dyDescent="0.25">
      <c r="E30" s="148">
        <v>107308</v>
      </c>
      <c r="F30" s="149" t="s">
        <v>96</v>
      </c>
    </row>
    <row r="31" spans="3:24" x14ac:dyDescent="0.25">
      <c r="E31" s="148">
        <v>107353</v>
      </c>
      <c r="F31" s="149" t="s">
        <v>97</v>
      </c>
    </row>
    <row r="32" spans="3:24" x14ac:dyDescent="0.25">
      <c r="E32" s="148">
        <v>107356</v>
      </c>
      <c r="F32" s="149" t="s">
        <v>98</v>
      </c>
    </row>
    <row r="33" spans="5:6" x14ac:dyDescent="0.25">
      <c r="E33" s="148">
        <v>107357</v>
      </c>
      <c r="F33" s="149" t="s">
        <v>99</v>
      </c>
    </row>
    <row r="34" spans="5:6" x14ac:dyDescent="0.25">
      <c r="E34" s="148">
        <v>107400</v>
      </c>
      <c r="F34" s="149" t="s">
        <v>100</v>
      </c>
    </row>
    <row r="35" spans="5:6" x14ac:dyDescent="0.25">
      <c r="E35" s="150">
        <v>107756</v>
      </c>
      <c r="F35" s="151" t="s">
        <v>101</v>
      </c>
    </row>
  </sheetData>
  <autoFilter ref="G4:AA16" xr:uid="{00000000-0001-0000-08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4E833-5F61-457B-B71C-18431C66C458}">
  <sheetPr codeName="Hoja12">
    <tabColor rgb="FF00B050"/>
  </sheetPr>
  <dimension ref="A1:AL17"/>
  <sheetViews>
    <sheetView topLeftCell="B1" zoomScale="70" zoomScaleNormal="70" workbookViewId="0">
      <selection activeCell="U23" sqref="U23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1.85546875" style="5" customWidth="1"/>
    <col min="8" max="9" width="5" style="5" bestFit="1" customWidth="1"/>
    <col min="10" max="10" width="5.42578125" style="5" bestFit="1" customWidth="1"/>
    <col min="11" max="11" width="4.85546875" style="5" bestFit="1" customWidth="1"/>
    <col min="12" max="12" width="5.85546875" style="5" bestFit="1" customWidth="1"/>
    <col min="13" max="13" width="4.7109375" style="5" bestFit="1" customWidth="1"/>
    <col min="14" max="14" width="4" style="5" bestFit="1" customWidth="1"/>
    <col min="15" max="15" width="5.28515625" style="5" bestFit="1" customWidth="1"/>
    <col min="16" max="16" width="5.85546875" style="5" bestFit="1" customWidth="1"/>
    <col min="17" max="17" width="4.85546875" style="5" bestFit="1" customWidth="1"/>
    <col min="18" max="18" width="5.42578125" style="5" bestFit="1" customWidth="1"/>
    <col min="19" max="19" width="4.5703125" style="5" bestFit="1" customWidth="1"/>
    <col min="20" max="20" width="6.42578125" style="5" bestFit="1" customWidth="1"/>
    <col min="21" max="21" width="20.5703125" style="5" customWidth="1"/>
    <col min="22" max="22" width="14.85546875" style="6" customWidth="1"/>
    <col min="23" max="23" width="12.5703125" style="5" customWidth="1"/>
    <col min="24" max="24" width="14.140625" style="5" customWidth="1"/>
    <col min="25" max="25" width="16.42578125" style="5" customWidth="1"/>
    <col min="26" max="26" width="15" style="57" customWidth="1"/>
    <col min="27" max="28" width="10.7109375" style="57" customWidth="1"/>
    <col min="29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6" width="10.7109375" style="5" customWidth="1"/>
    <col min="37" max="37" width="10.7109375" style="6" customWidth="1"/>
    <col min="38" max="38" width="11.42578125" style="6"/>
    <col min="39" max="16384" width="11.42578125" style="5"/>
  </cols>
  <sheetData>
    <row r="1" spans="1:38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56"/>
      <c r="AB1" s="56"/>
      <c r="AF1" s="56"/>
      <c r="AH1" s="3"/>
      <c r="AK1" s="3"/>
      <c r="AL1" s="3"/>
    </row>
    <row r="2" spans="1:38" s="2" customFormat="1" ht="28.5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5" t="str">
        <f>+NOMBRE!B7</f>
        <v>ENERO - OCTUBRE 2024</v>
      </c>
      <c r="X2" s="905"/>
      <c r="Y2" s="905"/>
      <c r="Z2" s="905"/>
      <c r="AA2" s="56"/>
      <c r="AB2" s="56"/>
      <c r="AF2" s="56"/>
      <c r="AH2" s="3"/>
      <c r="AK2" s="3"/>
      <c r="AL2" s="3"/>
    </row>
    <row r="3" spans="1:38" ht="3" customHeight="1" thickBot="1" x14ac:dyDescent="0.3"/>
    <row r="4" spans="1:38" ht="15" customHeight="1" x14ac:dyDescent="0.25">
      <c r="G4" s="58"/>
      <c r="H4" s="906" t="s">
        <v>476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24"/>
      <c r="W4" s="924"/>
      <c r="X4" s="924"/>
      <c r="Y4" s="924"/>
      <c r="Z4" s="957"/>
      <c r="AA4" s="5"/>
      <c r="AB4" s="5"/>
      <c r="AD4" s="6"/>
      <c r="AF4" s="5"/>
      <c r="AG4" s="87" t="s">
        <v>45</v>
      </c>
      <c r="AH4" s="88">
        <v>12</v>
      </c>
      <c r="AI4" s="6"/>
      <c r="AJ4" s="6"/>
      <c r="AK4" s="5"/>
    </row>
    <row r="5" spans="1:38" ht="23.25" customHeight="1" thickBot="1" x14ac:dyDescent="0.3">
      <c r="G5" s="58"/>
      <c r="H5" s="958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60"/>
      <c r="AA5" s="5"/>
      <c r="AB5" s="5"/>
      <c r="AD5" s="6"/>
      <c r="AF5" s="5"/>
      <c r="AG5" s="87" t="s">
        <v>46</v>
      </c>
      <c r="AH5" s="88">
        <f>meta3!AB2</f>
        <v>10</v>
      </c>
      <c r="AI5" s="6"/>
      <c r="AK5" s="5"/>
    </row>
    <row r="6" spans="1:38" ht="57" customHeight="1" thickBot="1" x14ac:dyDescent="0.3">
      <c r="G6" s="58"/>
      <c r="H6" s="933" t="s">
        <v>4</v>
      </c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5"/>
      <c r="U6" s="8" t="s">
        <v>5</v>
      </c>
      <c r="V6" s="912" t="s">
        <v>6</v>
      </c>
      <c r="W6" s="914">
        <f>+NOMBRE!$B$9</f>
        <v>2024</v>
      </c>
      <c r="X6" s="915"/>
      <c r="Y6" s="916" t="s">
        <v>7</v>
      </c>
      <c r="Z6" s="917"/>
      <c r="AA6" s="89" t="s">
        <v>47</v>
      </c>
      <c r="AB6" s="89" t="s">
        <v>48</v>
      </c>
      <c r="AC6" s="89" t="s">
        <v>49</v>
      </c>
      <c r="AD6" s="89" t="s">
        <v>50</v>
      </c>
      <c r="AE6" s="89" t="s">
        <v>51</v>
      </c>
      <c r="AF6" s="89" t="s">
        <v>52</v>
      </c>
      <c r="AG6" s="89" t="s">
        <v>45</v>
      </c>
      <c r="AH6" s="89" t="s">
        <v>53</v>
      </c>
      <c r="AI6" s="89" t="s">
        <v>54</v>
      </c>
      <c r="AJ6" s="89" t="s">
        <v>55</v>
      </c>
      <c r="AK6" s="89" t="s">
        <v>56</v>
      </c>
    </row>
    <row r="7" spans="1:38" ht="158.25" customHeight="1" thickBot="1" x14ac:dyDescent="0.3">
      <c r="G7" s="603" t="s">
        <v>431</v>
      </c>
      <c r="H7" s="961" t="s">
        <v>102</v>
      </c>
      <c r="I7" s="961"/>
      <c r="J7" s="961"/>
      <c r="K7" s="961"/>
      <c r="L7" s="961"/>
      <c r="M7" s="961"/>
      <c r="N7" s="961"/>
      <c r="O7" s="961"/>
      <c r="P7" s="961"/>
      <c r="Q7" s="961"/>
      <c r="R7" s="961"/>
      <c r="S7" s="961"/>
      <c r="T7" s="962"/>
      <c r="U7" s="11" t="s">
        <v>103</v>
      </c>
      <c r="V7" s="913"/>
      <c r="W7" s="12" t="s">
        <v>11</v>
      </c>
      <c r="X7" s="12" t="s">
        <v>43</v>
      </c>
      <c r="Y7" s="14" t="s">
        <v>13</v>
      </c>
      <c r="Z7" s="14" t="s">
        <v>504</v>
      </c>
      <c r="AA7" s="90" t="s">
        <v>57</v>
      </c>
      <c r="AB7" s="90" t="s">
        <v>58</v>
      </c>
      <c r="AC7" s="491" t="s">
        <v>59</v>
      </c>
      <c r="AD7" s="495" t="s">
        <v>60</v>
      </c>
      <c r="AE7" s="495" t="s">
        <v>61</v>
      </c>
      <c r="AF7" s="495" t="s">
        <v>62</v>
      </c>
      <c r="AG7" s="495" t="s">
        <v>63</v>
      </c>
      <c r="AH7" s="495" t="s">
        <v>64</v>
      </c>
      <c r="AI7" s="495" t="s">
        <v>65</v>
      </c>
      <c r="AJ7" s="493" t="s">
        <v>66</v>
      </c>
      <c r="AK7" s="92" t="s">
        <v>67</v>
      </c>
    </row>
    <row r="8" spans="1:38" ht="48" customHeight="1" thickBot="1" x14ac:dyDescent="0.3">
      <c r="G8" s="435"/>
      <c r="H8" s="448" t="s">
        <v>189</v>
      </c>
      <c r="I8" s="448" t="s">
        <v>190</v>
      </c>
      <c r="J8" s="448" t="s">
        <v>191</v>
      </c>
      <c r="K8" s="448" t="s">
        <v>192</v>
      </c>
      <c r="L8" s="448" t="s">
        <v>193</v>
      </c>
      <c r="M8" s="448" t="s">
        <v>194</v>
      </c>
      <c r="N8" s="448" t="s">
        <v>195</v>
      </c>
      <c r="O8" s="448" t="s">
        <v>196</v>
      </c>
      <c r="P8" s="448" t="s">
        <v>423</v>
      </c>
      <c r="Q8" s="448" t="s">
        <v>198</v>
      </c>
      <c r="R8" s="448" t="s">
        <v>199</v>
      </c>
      <c r="S8" s="448" t="s">
        <v>200</v>
      </c>
      <c r="T8" s="449" t="s">
        <v>201</v>
      </c>
      <c r="U8" s="11"/>
      <c r="V8" s="438"/>
      <c r="W8" s="649">
        <f>indicadores!E26</f>
        <v>0.95</v>
      </c>
      <c r="X8" s="649">
        <f>indicadores!$D$54</f>
        <v>0.7</v>
      </c>
      <c r="Y8" s="439"/>
      <c r="Z8" s="439">
        <v>5.49</v>
      </c>
      <c r="AA8" s="93" t="s">
        <v>68</v>
      </c>
      <c r="AB8" s="93" t="s">
        <v>69</v>
      </c>
      <c r="AC8" s="93" t="s">
        <v>70</v>
      </c>
      <c r="AD8" s="489" t="s">
        <v>71</v>
      </c>
      <c r="AE8" s="489" t="s">
        <v>72</v>
      </c>
      <c r="AF8" s="489" t="s">
        <v>73</v>
      </c>
      <c r="AG8" s="489" t="s">
        <v>74</v>
      </c>
      <c r="AH8" s="489" t="s">
        <v>75</v>
      </c>
      <c r="AI8" s="489" t="s">
        <v>76</v>
      </c>
      <c r="AJ8" s="93" t="s">
        <v>77</v>
      </c>
      <c r="AK8" s="93" t="s">
        <v>78</v>
      </c>
    </row>
    <row r="9" spans="1:38" ht="15" customHeight="1" thickBot="1" x14ac:dyDescent="0.35">
      <c r="A9"/>
      <c r="B9"/>
      <c r="C9" s="64"/>
      <c r="D9" s="65"/>
      <c r="E9" s="66"/>
      <c r="F9" s="105"/>
      <c r="G9" s="19" t="s">
        <v>432</v>
      </c>
      <c r="H9" s="68">
        <f>REMA!CB6</f>
        <v>22</v>
      </c>
      <c r="I9" s="68">
        <f>REMA!CC6</f>
        <v>25</v>
      </c>
      <c r="J9" s="68">
        <f>REMA!CD6</f>
        <v>17</v>
      </c>
      <c r="K9" s="68">
        <f>REMA!CE6</f>
        <v>17</v>
      </c>
      <c r="L9" s="68">
        <f>REMA!CF6</f>
        <v>10</v>
      </c>
      <c r="M9" s="68">
        <f>REMA!CG6</f>
        <v>17</v>
      </c>
      <c r="N9" s="68">
        <f>REMA!CH6</f>
        <v>18</v>
      </c>
      <c r="O9" s="68">
        <f>REMA!CI6</f>
        <v>25</v>
      </c>
      <c r="P9" s="68">
        <f>REMA!CJ6</f>
        <v>25</v>
      </c>
      <c r="Q9" s="68">
        <f>REMA!CK6</f>
        <v>17</v>
      </c>
      <c r="R9" s="68">
        <f>REMA!CL6</f>
        <v>0</v>
      </c>
      <c r="S9" s="68">
        <f>REMA!CM6</f>
        <v>0</v>
      </c>
      <c r="T9" s="481">
        <f>SUM(H9:S9)</f>
        <v>193</v>
      </c>
      <c r="U9" s="783">
        <f>REMP!K6</f>
        <v>232</v>
      </c>
      <c r="V9" s="35">
        <f>IF(U9=0,1,+T9/U9)</f>
        <v>0.8318965517241379</v>
      </c>
      <c r="W9" s="37">
        <f>$W$8</f>
        <v>0.95</v>
      </c>
      <c r="X9" s="37">
        <f>+W9*X8</f>
        <v>0.66499999999999992</v>
      </c>
      <c r="Y9" s="109">
        <f t="shared" ref="Y9:Y16" si="0">IF(+V9/X9&gt;1,1,+V9/X9)</f>
        <v>1</v>
      </c>
      <c r="Z9" s="71">
        <f>+Y9*$Z$8/100</f>
        <v>5.4900000000000004E-2</v>
      </c>
      <c r="AA9" s="144">
        <f>W9</f>
        <v>0.95</v>
      </c>
      <c r="AB9" s="144">
        <f>(AF9/AD9)</f>
        <v>0.8318965517241379</v>
      </c>
      <c r="AC9" s="492">
        <f>AB9/AA9</f>
        <v>0.87568058076225042</v>
      </c>
      <c r="AD9" s="496">
        <f>U9</f>
        <v>232</v>
      </c>
      <c r="AE9" s="497">
        <f>AD9*AA9</f>
        <v>220.39999999999998</v>
      </c>
      <c r="AF9" s="496">
        <f>T9</f>
        <v>193</v>
      </c>
      <c r="AG9" s="497">
        <f>AE9/$AH$4</f>
        <v>18.366666666666664</v>
      </c>
      <c r="AH9" s="497">
        <f>AG9*$AH$5</f>
        <v>183.66666666666663</v>
      </c>
      <c r="AI9" s="497">
        <f>T9</f>
        <v>193</v>
      </c>
      <c r="AJ9" s="494">
        <f>AI9/AH9</f>
        <v>1.0508166969147008</v>
      </c>
      <c r="AK9" s="427">
        <f>(AH9-AI9)*-1</f>
        <v>9.3333333333333712</v>
      </c>
    </row>
    <row r="10" spans="1:38" ht="15" customHeight="1" thickBot="1" x14ac:dyDescent="0.35">
      <c r="A10"/>
      <c r="B10"/>
      <c r="C10" s="64"/>
      <c r="D10" s="65"/>
      <c r="E10" s="66"/>
      <c r="F10" s="105"/>
      <c r="G10" s="19" t="s">
        <v>433</v>
      </c>
      <c r="H10" s="73">
        <f>REMA!CB7</f>
        <v>11</v>
      </c>
      <c r="I10" s="73">
        <f>REMA!CC7</f>
        <v>4</v>
      </c>
      <c r="J10" s="73">
        <f>REMA!CD7</f>
        <v>20</v>
      </c>
      <c r="K10" s="73">
        <f>REMA!CE7</f>
        <v>21</v>
      </c>
      <c r="L10" s="73">
        <f>REMA!CF7</f>
        <v>18</v>
      </c>
      <c r="M10" s="73">
        <f>REMA!CG7</f>
        <v>17</v>
      </c>
      <c r="N10" s="73">
        <f>REMA!CH7</f>
        <v>15</v>
      </c>
      <c r="O10" s="73">
        <f>REMA!CI7</f>
        <v>20</v>
      </c>
      <c r="P10" s="73">
        <f>REMA!CJ7</f>
        <v>10</v>
      </c>
      <c r="Q10" s="73">
        <f>REMA!CK7</f>
        <v>17</v>
      </c>
      <c r="R10" s="73">
        <f>REMA!CL7</f>
        <v>0</v>
      </c>
      <c r="S10" s="73">
        <f>REMA!CM7</f>
        <v>0</v>
      </c>
      <c r="T10" s="477">
        <f>SUM(H10:S10)</f>
        <v>153</v>
      </c>
      <c r="U10" s="784">
        <f>REMP!K7</f>
        <v>200</v>
      </c>
      <c r="V10" s="40">
        <f>IF(U10=0,1,+T10/U10)</f>
        <v>0.76500000000000001</v>
      </c>
      <c r="W10" s="42">
        <f t="shared" ref="W10:W16" si="1">$W$8</f>
        <v>0.95</v>
      </c>
      <c r="X10" s="37">
        <f t="shared" ref="X10:X16" si="2">+W10*X9</f>
        <v>0.63174999999999992</v>
      </c>
      <c r="Y10" s="112">
        <f t="shared" si="0"/>
        <v>1</v>
      </c>
      <c r="Z10" s="71">
        <f t="shared" ref="Z10:Z16" si="3">+Y10*$Z$8/100</f>
        <v>5.4900000000000004E-2</v>
      </c>
      <c r="AA10" s="144">
        <f t="shared" ref="AA10:AA16" si="4">W10</f>
        <v>0.95</v>
      </c>
      <c r="AB10" s="144">
        <f t="shared" ref="AB10:AB16" si="5">(AF10/AD10)</f>
        <v>0.76500000000000001</v>
      </c>
      <c r="AC10" s="492">
        <f t="shared" ref="AC10:AC16" si="6">AB10/AA10</f>
        <v>0.8052631578947369</v>
      </c>
      <c r="AD10" s="496">
        <f t="shared" ref="AD10:AD16" si="7">U10</f>
        <v>200</v>
      </c>
      <c r="AE10" s="497">
        <f t="shared" ref="AE10:AE16" si="8">AD10*AA10</f>
        <v>190</v>
      </c>
      <c r="AF10" s="496">
        <f t="shared" ref="AF10:AF16" si="9">T10</f>
        <v>153</v>
      </c>
      <c r="AG10" s="497">
        <f t="shared" ref="AG10:AG16" si="10">AE10/$AH$4</f>
        <v>15.833333333333334</v>
      </c>
      <c r="AH10" s="497">
        <f t="shared" ref="AH10:AH16" si="11">AG10*$AH$5</f>
        <v>158.33333333333334</v>
      </c>
      <c r="AI10" s="497">
        <f t="shared" ref="AI10:AI16" si="12">T10</f>
        <v>153</v>
      </c>
      <c r="AJ10" s="494">
        <f t="shared" ref="AJ10:AJ16" si="13">AI10/AH10</f>
        <v>0.96631578947368413</v>
      </c>
      <c r="AK10" s="427">
        <f t="shared" ref="AK10:AK16" si="14">(AH10-AI10)*-1</f>
        <v>-5.3333333333333428</v>
      </c>
    </row>
    <row r="11" spans="1:38" ht="15" customHeight="1" thickBot="1" x14ac:dyDescent="0.35">
      <c r="A11"/>
      <c r="B11"/>
      <c r="C11" s="64"/>
      <c r="D11" s="65"/>
      <c r="E11" s="66"/>
      <c r="F11" s="105"/>
      <c r="G11" s="19" t="s">
        <v>434</v>
      </c>
      <c r="H11" s="73">
        <f>REMA!CB8</f>
        <v>16</v>
      </c>
      <c r="I11" s="73">
        <f>REMA!CC8</f>
        <v>7</v>
      </c>
      <c r="J11" s="73">
        <f>REMA!CD8</f>
        <v>16</v>
      </c>
      <c r="K11" s="73">
        <f>REMA!CE8</f>
        <v>12</v>
      </c>
      <c r="L11" s="73">
        <f>REMA!CF8</f>
        <v>7</v>
      </c>
      <c r="M11" s="73">
        <f>REMA!CG8</f>
        <v>9</v>
      </c>
      <c r="N11" s="73">
        <f>REMA!CH8</f>
        <v>12</v>
      </c>
      <c r="O11" s="73">
        <f>REMA!CI8</f>
        <v>11</v>
      </c>
      <c r="P11" s="73">
        <f>REMA!CJ8</f>
        <v>14</v>
      </c>
      <c r="Q11" s="73">
        <f>REMA!CK8</f>
        <v>36</v>
      </c>
      <c r="R11" s="73">
        <f>REMA!CL8</f>
        <v>0</v>
      </c>
      <c r="S11" s="73">
        <f>REMA!CM8</f>
        <v>0</v>
      </c>
      <c r="T11" s="477">
        <f t="shared" ref="T11:T15" si="15">SUM(H11:S11)</f>
        <v>140</v>
      </c>
      <c r="U11" s="784">
        <f>REMP!K8</f>
        <v>145</v>
      </c>
      <c r="V11" s="40">
        <f t="shared" ref="V11:V16" si="16">IF(U11=0,1,+T11/U11)</f>
        <v>0.96551724137931039</v>
      </c>
      <c r="W11" s="42">
        <f t="shared" si="1"/>
        <v>0.95</v>
      </c>
      <c r="X11" s="37">
        <f t="shared" si="2"/>
        <v>0.60016249999999993</v>
      </c>
      <c r="Y11" s="112">
        <f t="shared" si="0"/>
        <v>1</v>
      </c>
      <c r="Z11" s="71">
        <f t="shared" si="3"/>
        <v>5.4900000000000004E-2</v>
      </c>
      <c r="AA11" s="144">
        <f t="shared" si="4"/>
        <v>0.95</v>
      </c>
      <c r="AB11" s="144">
        <f t="shared" si="5"/>
        <v>0.96551724137931039</v>
      </c>
      <c r="AC11" s="492">
        <f t="shared" si="6"/>
        <v>1.0163339382940111</v>
      </c>
      <c r="AD11" s="496">
        <f t="shared" si="7"/>
        <v>145</v>
      </c>
      <c r="AE11" s="497">
        <f t="shared" si="8"/>
        <v>137.75</v>
      </c>
      <c r="AF11" s="496">
        <f t="shared" si="9"/>
        <v>140</v>
      </c>
      <c r="AG11" s="497">
        <f t="shared" si="10"/>
        <v>11.479166666666666</v>
      </c>
      <c r="AH11" s="497">
        <f t="shared" si="11"/>
        <v>114.79166666666666</v>
      </c>
      <c r="AI11" s="497">
        <f t="shared" si="12"/>
        <v>140</v>
      </c>
      <c r="AJ11" s="494">
        <f t="shared" si="13"/>
        <v>1.2196007259528132</v>
      </c>
      <c r="AK11" s="427">
        <f t="shared" si="14"/>
        <v>25.208333333333343</v>
      </c>
    </row>
    <row r="12" spans="1:38" ht="15" customHeight="1" thickBot="1" x14ac:dyDescent="0.35">
      <c r="A12"/>
      <c r="B12"/>
      <c r="C12" s="64"/>
      <c r="D12" s="65"/>
      <c r="E12" s="66"/>
      <c r="F12" s="105"/>
      <c r="G12" s="19" t="s">
        <v>435</v>
      </c>
      <c r="H12" s="73">
        <f>REMA!CB9</f>
        <v>6</v>
      </c>
      <c r="I12" s="73">
        <f>REMA!CC9</f>
        <v>7</v>
      </c>
      <c r="J12" s="73">
        <f>REMA!CD9</f>
        <v>19</v>
      </c>
      <c r="K12" s="73">
        <f>REMA!CE9</f>
        <v>17</v>
      </c>
      <c r="L12" s="73">
        <f>REMA!CF9</f>
        <v>9</v>
      </c>
      <c r="M12" s="73">
        <f>REMA!CG9</f>
        <v>13</v>
      </c>
      <c r="N12" s="73">
        <f>REMA!CH9</f>
        <v>13</v>
      </c>
      <c r="O12" s="73">
        <f>REMA!CI9</f>
        <v>8</v>
      </c>
      <c r="P12" s="73">
        <f>REMA!CJ9</f>
        <v>4</v>
      </c>
      <c r="Q12" s="73">
        <f>REMA!CK9</f>
        <v>12</v>
      </c>
      <c r="R12" s="73">
        <f>REMA!CL9</f>
        <v>0</v>
      </c>
      <c r="S12" s="73">
        <f>REMA!CM9</f>
        <v>0</v>
      </c>
      <c r="T12" s="477">
        <f t="shared" si="15"/>
        <v>108</v>
      </c>
      <c r="U12" s="784">
        <f>REMP!K9</f>
        <v>176</v>
      </c>
      <c r="V12" s="40">
        <f t="shared" si="16"/>
        <v>0.61363636363636365</v>
      </c>
      <c r="W12" s="42">
        <f t="shared" si="1"/>
        <v>0.95</v>
      </c>
      <c r="X12" s="37">
        <f t="shared" si="2"/>
        <v>0.57015437499999988</v>
      </c>
      <c r="Y12" s="112">
        <f t="shared" si="0"/>
        <v>1</v>
      </c>
      <c r="Z12" s="71">
        <f t="shared" si="3"/>
        <v>5.4900000000000004E-2</v>
      </c>
      <c r="AA12" s="144">
        <f t="shared" si="4"/>
        <v>0.95</v>
      </c>
      <c r="AB12" s="144">
        <f t="shared" si="5"/>
        <v>0.61363636363636365</v>
      </c>
      <c r="AC12" s="492">
        <f t="shared" si="6"/>
        <v>0.64593301435406703</v>
      </c>
      <c r="AD12" s="496">
        <f t="shared" si="7"/>
        <v>176</v>
      </c>
      <c r="AE12" s="497">
        <f t="shared" si="8"/>
        <v>167.2</v>
      </c>
      <c r="AF12" s="496">
        <f t="shared" si="9"/>
        <v>108</v>
      </c>
      <c r="AG12" s="497">
        <f t="shared" si="10"/>
        <v>13.933333333333332</v>
      </c>
      <c r="AH12" s="497">
        <f t="shared" si="11"/>
        <v>139.33333333333331</v>
      </c>
      <c r="AI12" s="497">
        <f t="shared" si="12"/>
        <v>108</v>
      </c>
      <c r="AJ12" s="494">
        <f t="shared" si="13"/>
        <v>0.77511961722488054</v>
      </c>
      <c r="AK12" s="427">
        <f t="shared" si="14"/>
        <v>-31.333333333333314</v>
      </c>
    </row>
    <row r="13" spans="1:38" ht="15" customHeight="1" thickBot="1" x14ac:dyDescent="0.35">
      <c r="A13"/>
      <c r="B13"/>
      <c r="C13" s="64"/>
      <c r="D13" s="65"/>
      <c r="E13" s="66"/>
      <c r="F13" s="105"/>
      <c r="G13" s="19" t="s">
        <v>436</v>
      </c>
      <c r="H13" s="73">
        <f>REMA!CB10</f>
        <v>14</v>
      </c>
      <c r="I13" s="73">
        <f>REMA!CC10</f>
        <v>10</v>
      </c>
      <c r="J13" s="73">
        <f>REMA!CD10</f>
        <v>11</v>
      </c>
      <c r="K13" s="73">
        <f>REMA!CE10</f>
        <v>10</v>
      </c>
      <c r="L13" s="73">
        <f>REMA!CF10</f>
        <v>3</v>
      </c>
      <c r="M13" s="73">
        <f>REMA!CG10</f>
        <v>20</v>
      </c>
      <c r="N13" s="73">
        <f>REMA!CH10</f>
        <v>4</v>
      </c>
      <c r="O13" s="73">
        <f>REMA!CI10</f>
        <v>22</v>
      </c>
      <c r="P13" s="73">
        <f>REMA!CJ10</f>
        <v>20</v>
      </c>
      <c r="Q13" s="73">
        <f>REMA!CK10</f>
        <v>14</v>
      </c>
      <c r="R13" s="73">
        <f>REMA!CL10</f>
        <v>0</v>
      </c>
      <c r="S13" s="73">
        <f>REMA!CM10</f>
        <v>0</v>
      </c>
      <c r="T13" s="477">
        <f t="shared" si="15"/>
        <v>128</v>
      </c>
      <c r="U13" s="784">
        <f>REMP!K10</f>
        <v>172</v>
      </c>
      <c r="V13" s="40">
        <f t="shared" si="16"/>
        <v>0.7441860465116279</v>
      </c>
      <c r="W13" s="42">
        <f t="shared" si="1"/>
        <v>0.95</v>
      </c>
      <c r="X13" s="37">
        <f t="shared" si="2"/>
        <v>0.54164665624999986</v>
      </c>
      <c r="Y13" s="112">
        <f t="shared" si="0"/>
        <v>1</v>
      </c>
      <c r="Z13" s="71">
        <f t="shared" si="3"/>
        <v>5.4900000000000004E-2</v>
      </c>
      <c r="AA13" s="144">
        <f t="shared" si="4"/>
        <v>0.95</v>
      </c>
      <c r="AB13" s="144">
        <f t="shared" si="5"/>
        <v>0.7441860465116279</v>
      </c>
      <c r="AC13" s="492">
        <f t="shared" si="6"/>
        <v>0.78335373317013468</v>
      </c>
      <c r="AD13" s="496">
        <f t="shared" si="7"/>
        <v>172</v>
      </c>
      <c r="AE13" s="497">
        <f t="shared" si="8"/>
        <v>163.4</v>
      </c>
      <c r="AF13" s="496">
        <f t="shared" si="9"/>
        <v>128</v>
      </c>
      <c r="AG13" s="497">
        <f t="shared" si="10"/>
        <v>13.616666666666667</v>
      </c>
      <c r="AH13" s="497">
        <f t="shared" si="11"/>
        <v>136.16666666666669</v>
      </c>
      <c r="AI13" s="497">
        <f t="shared" si="12"/>
        <v>128</v>
      </c>
      <c r="AJ13" s="494">
        <f t="shared" si="13"/>
        <v>0.94002447980416148</v>
      </c>
      <c r="AK13" s="427">
        <f t="shared" si="14"/>
        <v>-8.1666666666666856</v>
      </c>
    </row>
    <row r="14" spans="1:38" ht="15" customHeight="1" thickBot="1" x14ac:dyDescent="0.35">
      <c r="A14"/>
      <c r="B14"/>
      <c r="C14" s="64"/>
      <c r="D14" s="65"/>
      <c r="E14" s="66"/>
      <c r="F14" s="105"/>
      <c r="G14" s="19" t="s">
        <v>437</v>
      </c>
      <c r="H14" s="73">
        <f>REMA!CB11</f>
        <v>0</v>
      </c>
      <c r="I14" s="73">
        <f>REMA!CC11</f>
        <v>0</v>
      </c>
      <c r="J14" s="73">
        <f>REMA!CD11</f>
        <v>1</v>
      </c>
      <c r="K14" s="73">
        <f>REMA!CE11</f>
        <v>0</v>
      </c>
      <c r="L14" s="73">
        <f>REMA!CF11</f>
        <v>0</v>
      </c>
      <c r="M14" s="73">
        <f>REMA!CG11</f>
        <v>0</v>
      </c>
      <c r="N14" s="73">
        <f>REMA!CH11</f>
        <v>0</v>
      </c>
      <c r="O14" s="73">
        <f>REMA!CI11</f>
        <v>1</v>
      </c>
      <c r="P14" s="73">
        <f>REMA!CJ11</f>
        <v>0</v>
      </c>
      <c r="Q14" s="73">
        <f>REMA!CK11</f>
        <v>0</v>
      </c>
      <c r="R14" s="73">
        <f>REMA!CL11</f>
        <v>0</v>
      </c>
      <c r="S14" s="73">
        <f>REMA!CM11</f>
        <v>0</v>
      </c>
      <c r="T14" s="477">
        <f t="shared" si="15"/>
        <v>2</v>
      </c>
      <c r="U14" s="784">
        <f>REMP!K11</f>
        <v>2</v>
      </c>
      <c r="V14" s="40">
        <f t="shared" si="16"/>
        <v>1</v>
      </c>
      <c r="W14" s="42">
        <f t="shared" si="1"/>
        <v>0.95</v>
      </c>
      <c r="X14" s="37">
        <f t="shared" si="2"/>
        <v>0.5145643234374998</v>
      </c>
      <c r="Y14" s="112">
        <f t="shared" si="0"/>
        <v>1</v>
      </c>
      <c r="Z14" s="71">
        <f t="shared" si="3"/>
        <v>5.4900000000000004E-2</v>
      </c>
      <c r="AA14" s="144">
        <f t="shared" si="4"/>
        <v>0.95</v>
      </c>
      <c r="AB14" s="144">
        <f t="shared" si="5"/>
        <v>1</v>
      </c>
      <c r="AC14" s="492">
        <f t="shared" si="6"/>
        <v>1.0526315789473684</v>
      </c>
      <c r="AD14" s="496">
        <f t="shared" si="7"/>
        <v>2</v>
      </c>
      <c r="AE14" s="497">
        <f t="shared" si="8"/>
        <v>1.9</v>
      </c>
      <c r="AF14" s="496">
        <f t="shared" si="9"/>
        <v>2</v>
      </c>
      <c r="AG14" s="497">
        <f t="shared" si="10"/>
        <v>0.15833333333333333</v>
      </c>
      <c r="AH14" s="497">
        <f t="shared" si="11"/>
        <v>1.5833333333333333</v>
      </c>
      <c r="AI14" s="497">
        <f t="shared" si="12"/>
        <v>2</v>
      </c>
      <c r="AJ14" s="494">
        <f t="shared" si="13"/>
        <v>1.2631578947368423</v>
      </c>
      <c r="AK14" s="427">
        <f t="shared" si="14"/>
        <v>0.41666666666666674</v>
      </c>
    </row>
    <row r="15" spans="1:38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113">
        <f>REMA!CB12</f>
        <v>2</v>
      </c>
      <c r="I15" s="113">
        <f>REMA!CC12</f>
        <v>0</v>
      </c>
      <c r="J15" s="113">
        <f>REMA!CD12</f>
        <v>0</v>
      </c>
      <c r="K15" s="113">
        <f>REMA!CE12</f>
        <v>8</v>
      </c>
      <c r="L15" s="113">
        <f>REMA!CF12</f>
        <v>2</v>
      </c>
      <c r="M15" s="113">
        <f>REMA!CG12</f>
        <v>3</v>
      </c>
      <c r="N15" s="113">
        <f>REMA!CH12</f>
        <v>5</v>
      </c>
      <c r="O15" s="113">
        <f>REMA!CI12</f>
        <v>5</v>
      </c>
      <c r="P15" s="113">
        <f>REMA!CJ12</f>
        <v>2</v>
      </c>
      <c r="Q15" s="113">
        <f>REMA!CK12</f>
        <v>6</v>
      </c>
      <c r="R15" s="113">
        <f>REMA!CL12</f>
        <v>0</v>
      </c>
      <c r="S15" s="113">
        <f>REMA!CM12</f>
        <v>0</v>
      </c>
      <c r="T15" s="614">
        <f t="shared" si="15"/>
        <v>33</v>
      </c>
      <c r="U15" s="785">
        <f>REMP!K12</f>
        <v>48</v>
      </c>
      <c r="V15" s="54">
        <f t="shared" si="16"/>
        <v>0.6875</v>
      </c>
      <c r="W15" s="55">
        <f t="shared" si="1"/>
        <v>0.95</v>
      </c>
      <c r="X15" s="37">
        <f t="shared" si="2"/>
        <v>0.48883610726562476</v>
      </c>
      <c r="Y15" s="115">
        <f t="shared" si="0"/>
        <v>1</v>
      </c>
      <c r="Z15" s="71">
        <f t="shared" si="3"/>
        <v>5.4900000000000004E-2</v>
      </c>
      <c r="AA15" s="539">
        <f t="shared" si="4"/>
        <v>0.95</v>
      </c>
      <c r="AB15" s="539">
        <f t="shared" si="5"/>
        <v>0.6875</v>
      </c>
      <c r="AC15" s="568">
        <f t="shared" si="6"/>
        <v>0.72368421052631582</v>
      </c>
      <c r="AD15" s="598">
        <f t="shared" si="7"/>
        <v>48</v>
      </c>
      <c r="AE15" s="599">
        <f t="shared" si="8"/>
        <v>45.599999999999994</v>
      </c>
      <c r="AF15" s="598">
        <f t="shared" si="9"/>
        <v>33</v>
      </c>
      <c r="AG15" s="599">
        <f t="shared" si="10"/>
        <v>3.7999999999999994</v>
      </c>
      <c r="AH15" s="599">
        <f t="shared" si="11"/>
        <v>37.999999999999993</v>
      </c>
      <c r="AI15" s="599">
        <f t="shared" si="12"/>
        <v>33</v>
      </c>
      <c r="AJ15" s="571">
        <f t="shared" si="13"/>
        <v>0.86842105263157909</v>
      </c>
      <c r="AK15" s="579">
        <f t="shared" si="14"/>
        <v>-4.9999999999999929</v>
      </c>
    </row>
    <row r="16" spans="1:38" ht="15" customHeight="1" thickBot="1" x14ac:dyDescent="0.35">
      <c r="A16"/>
      <c r="B16"/>
      <c r="C16" s="64"/>
      <c r="D16" s="65"/>
      <c r="E16" s="66"/>
      <c r="F16" s="105"/>
      <c r="G16" s="538" t="s">
        <v>15</v>
      </c>
      <c r="H16" s="84">
        <f>SUM(H9:H15)</f>
        <v>71</v>
      </c>
      <c r="I16" s="84">
        <f t="shared" ref="I16:S16" si="17">SUM(I9:I15)</f>
        <v>53</v>
      </c>
      <c r="J16" s="84">
        <f t="shared" si="17"/>
        <v>84</v>
      </c>
      <c r="K16" s="84">
        <f t="shared" si="17"/>
        <v>85</v>
      </c>
      <c r="L16" s="84">
        <f t="shared" si="17"/>
        <v>49</v>
      </c>
      <c r="M16" s="84">
        <f t="shared" si="17"/>
        <v>79</v>
      </c>
      <c r="N16" s="84">
        <f t="shared" si="17"/>
        <v>67</v>
      </c>
      <c r="O16" s="84">
        <f t="shared" si="17"/>
        <v>92</v>
      </c>
      <c r="P16" s="84">
        <f t="shared" si="17"/>
        <v>75</v>
      </c>
      <c r="Q16" s="84">
        <f t="shared" si="17"/>
        <v>102</v>
      </c>
      <c r="R16" s="84">
        <f t="shared" si="17"/>
        <v>0</v>
      </c>
      <c r="S16" s="84">
        <f t="shared" si="17"/>
        <v>0</v>
      </c>
      <c r="T16" s="600">
        <f>SUM(T9:T15)</f>
        <v>757</v>
      </c>
      <c r="U16" s="536">
        <f>SUM(U9:U15)</f>
        <v>975</v>
      </c>
      <c r="V16" s="475">
        <f t="shared" si="16"/>
        <v>0.77641025641025641</v>
      </c>
      <c r="W16" s="506">
        <f t="shared" si="1"/>
        <v>0.95</v>
      </c>
      <c r="X16" s="506">
        <f t="shared" si="2"/>
        <v>0.46439430190234349</v>
      </c>
      <c r="Y16" s="507">
        <f t="shared" si="0"/>
        <v>1</v>
      </c>
      <c r="Z16" s="508">
        <f t="shared" si="3"/>
        <v>5.4900000000000004E-2</v>
      </c>
      <c r="AA16" s="542">
        <f t="shared" si="4"/>
        <v>0.95</v>
      </c>
      <c r="AB16" s="542">
        <f t="shared" si="5"/>
        <v>0.77641025641025641</v>
      </c>
      <c r="AC16" s="569">
        <f t="shared" si="6"/>
        <v>0.81727395411605941</v>
      </c>
      <c r="AD16" s="601">
        <f t="shared" si="7"/>
        <v>975</v>
      </c>
      <c r="AE16" s="602">
        <f t="shared" si="8"/>
        <v>926.25</v>
      </c>
      <c r="AF16" s="601">
        <f t="shared" si="9"/>
        <v>757</v>
      </c>
      <c r="AG16" s="602">
        <f t="shared" si="10"/>
        <v>77.1875</v>
      </c>
      <c r="AH16" s="602">
        <f t="shared" si="11"/>
        <v>771.875</v>
      </c>
      <c r="AI16" s="602">
        <f t="shared" si="12"/>
        <v>757</v>
      </c>
      <c r="AJ16" s="572">
        <f t="shared" si="13"/>
        <v>0.9807287449392712</v>
      </c>
      <c r="AK16" s="585">
        <f t="shared" si="14"/>
        <v>-14.875</v>
      </c>
    </row>
    <row r="17" spans="3:28" x14ac:dyDescent="0.25">
      <c r="C17" s="64"/>
      <c r="D17" s="65"/>
      <c r="W17" s="57"/>
      <c r="AA17" s="121"/>
      <c r="AB17" s="121"/>
    </row>
  </sheetData>
  <autoFilter ref="G4:G16" xr:uid="{00000000-0001-0000-0900-000000000000}"/>
  <mergeCells count="9">
    <mergeCell ref="G1:Z1"/>
    <mergeCell ref="G2:V2"/>
    <mergeCell ref="W2:Z2"/>
    <mergeCell ref="V6:V7"/>
    <mergeCell ref="W6:X6"/>
    <mergeCell ref="Y6:Z6"/>
    <mergeCell ref="H4:Z5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10F7-30BA-45BC-88C0-19F74A77993F}">
  <sheetPr codeName="Hoja13">
    <tabColor rgb="FFFF0000"/>
  </sheetPr>
  <dimension ref="A1:AN17"/>
  <sheetViews>
    <sheetView zoomScale="60" zoomScaleNormal="60" workbookViewId="0">
      <selection activeCell="T25" sqref="T2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3.7109375" style="5" customWidth="1"/>
    <col min="8" max="9" width="7" style="5" bestFit="1" customWidth="1"/>
    <col min="10" max="10" width="6.85546875" style="5" bestFit="1" customWidth="1"/>
    <col min="11" max="11" width="6.5703125" style="5" bestFit="1" customWidth="1"/>
    <col min="12" max="12" width="7.28515625" style="5" bestFit="1" customWidth="1"/>
    <col min="13" max="13" width="6.85546875" style="5" bestFit="1" customWidth="1"/>
    <col min="14" max="14" width="5.85546875" style="5" bestFit="1" customWidth="1"/>
    <col min="15" max="15" width="7.28515625" style="5" customWidth="1"/>
    <col min="16" max="16" width="8.28515625" style="5" bestFit="1" customWidth="1"/>
    <col min="17" max="17" width="6.85546875" style="5" bestFit="1" customWidth="1"/>
    <col min="18" max="18" width="7" style="5" bestFit="1" customWidth="1"/>
    <col min="19" max="19" width="6.28515625" style="5" bestFit="1" customWidth="1"/>
    <col min="20" max="20" width="9.7109375" style="5" customWidth="1"/>
    <col min="21" max="21" width="19.85546875" style="5" customWidth="1"/>
    <col min="22" max="22" width="14.85546875" style="6" customWidth="1"/>
    <col min="23" max="23" width="12.5703125" style="5" customWidth="1"/>
    <col min="24" max="24" width="14.140625" style="57" customWidth="1"/>
    <col min="25" max="25" width="16.42578125" style="5" customWidth="1"/>
    <col min="26" max="26" width="15" style="57" customWidth="1"/>
    <col min="27" max="27" width="18.7109375" style="57" bestFit="1" customWidth="1"/>
    <col min="28" max="28" width="11.5703125" style="57" bestFit="1" customWidth="1"/>
    <col min="29" max="29" width="15.140625" style="5" bestFit="1" customWidth="1"/>
    <col min="30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5" width="10.7109375" style="72" customWidth="1"/>
    <col min="36" max="36" width="11.5703125" style="5" bestFit="1" customWidth="1"/>
    <col min="37" max="37" width="12.42578125" style="6" customWidth="1"/>
    <col min="38" max="38" width="11.42578125" style="6"/>
    <col min="39" max="16384" width="11.42578125" style="5"/>
  </cols>
  <sheetData>
    <row r="1" spans="1:40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56"/>
      <c r="AB1" s="56"/>
      <c r="AF1" s="56"/>
      <c r="AH1" s="3"/>
      <c r="AI1" s="117"/>
      <c r="AK1" s="3"/>
      <c r="AL1" s="3"/>
    </row>
    <row r="2" spans="1:40" s="2" customFormat="1" ht="28.5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5" t="str">
        <f>+NOMBRE!B7</f>
        <v>ENERO - OCTUBRE 2024</v>
      </c>
      <c r="X2" s="905"/>
      <c r="Y2" s="905"/>
      <c r="Z2" s="905"/>
      <c r="AA2" s="56"/>
      <c r="AB2" s="56"/>
      <c r="AF2" s="56"/>
      <c r="AH2" s="3"/>
      <c r="AI2" s="117"/>
      <c r="AK2" s="3"/>
      <c r="AL2" s="3"/>
    </row>
    <row r="3" spans="1:40" ht="3" customHeight="1" thickBot="1" x14ac:dyDescent="0.3"/>
    <row r="4" spans="1:40" ht="15" customHeight="1" x14ac:dyDescent="0.25">
      <c r="G4" s="58"/>
      <c r="H4" s="924" t="s">
        <v>475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07"/>
      <c r="V4" s="907"/>
      <c r="W4" s="907"/>
      <c r="X4" s="907"/>
      <c r="Y4" s="907"/>
      <c r="Z4" s="908"/>
      <c r="AA4" s="5"/>
      <c r="AB4" s="5"/>
      <c r="AD4" s="6"/>
      <c r="AF4" s="5"/>
      <c r="AG4" s="87" t="s">
        <v>45</v>
      </c>
      <c r="AH4" s="88">
        <v>12</v>
      </c>
      <c r="AI4" s="6"/>
      <c r="AJ4" s="6"/>
      <c r="AK4" s="5"/>
    </row>
    <row r="5" spans="1:40" ht="33" customHeight="1" thickBot="1" x14ac:dyDescent="0.3">
      <c r="G5" s="58"/>
      <c r="H5" s="910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1"/>
      <c r="AA5" s="5"/>
      <c r="AB5" s="5"/>
      <c r="AD5" s="6"/>
      <c r="AF5" s="5"/>
      <c r="AG5" s="87" t="s">
        <v>46</v>
      </c>
      <c r="AH5" s="88">
        <f>meta3!AB2</f>
        <v>10</v>
      </c>
      <c r="AI5" s="6"/>
      <c r="AK5" s="5"/>
    </row>
    <row r="6" spans="1:40" ht="25.5" customHeight="1" thickBot="1" x14ac:dyDescent="0.3">
      <c r="G6" s="58"/>
      <c r="H6" s="934"/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5"/>
      <c r="U6" s="8" t="s">
        <v>5</v>
      </c>
      <c r="V6" s="912" t="s">
        <v>6</v>
      </c>
      <c r="W6" s="914">
        <f>+NOMBRE!$B$9</f>
        <v>2024</v>
      </c>
      <c r="X6" s="915"/>
      <c r="Y6" s="916" t="s">
        <v>7</v>
      </c>
      <c r="Z6" s="963"/>
      <c r="AA6" s="482" t="s">
        <v>47</v>
      </c>
      <c r="AB6" s="482" t="s">
        <v>48</v>
      </c>
      <c r="AC6" s="482" t="s">
        <v>49</v>
      </c>
      <c r="AD6" s="482" t="s">
        <v>50</v>
      </c>
      <c r="AE6" s="482" t="s">
        <v>51</v>
      </c>
      <c r="AF6" s="482" t="s">
        <v>52</v>
      </c>
      <c r="AG6" s="482" t="s">
        <v>45</v>
      </c>
      <c r="AH6" s="482" t="s">
        <v>53</v>
      </c>
      <c r="AI6" s="482" t="s">
        <v>54</v>
      </c>
      <c r="AJ6" s="482" t="s">
        <v>55</v>
      </c>
      <c r="AK6" s="482" t="s">
        <v>56</v>
      </c>
    </row>
    <row r="7" spans="1:40" ht="99.75" thickBot="1" x14ac:dyDescent="0.3">
      <c r="G7" s="603" t="s">
        <v>431</v>
      </c>
      <c r="H7" s="919" t="s">
        <v>441</v>
      </c>
      <c r="I7" s="919"/>
      <c r="J7" s="919"/>
      <c r="K7" s="919"/>
      <c r="L7" s="919"/>
      <c r="M7" s="919"/>
      <c r="N7" s="919"/>
      <c r="O7" s="919"/>
      <c r="P7" s="919"/>
      <c r="Q7" s="919"/>
      <c r="R7" s="919"/>
      <c r="S7" s="919"/>
      <c r="T7" s="920"/>
      <c r="U7" s="11" t="s">
        <v>104</v>
      </c>
      <c r="V7" s="913"/>
      <c r="W7" s="12" t="s">
        <v>11</v>
      </c>
      <c r="X7" s="490" t="s">
        <v>463</v>
      </c>
      <c r="Y7" s="14" t="s">
        <v>13</v>
      </c>
      <c r="Z7" s="14" t="s">
        <v>44</v>
      </c>
      <c r="AA7" s="90" t="s">
        <v>57</v>
      </c>
      <c r="AB7" s="90" t="s">
        <v>58</v>
      </c>
      <c r="AC7" s="90" t="s">
        <v>59</v>
      </c>
      <c r="AD7" s="91" t="s">
        <v>60</v>
      </c>
      <c r="AE7" s="91" t="s">
        <v>61</v>
      </c>
      <c r="AF7" s="91" t="s">
        <v>62</v>
      </c>
      <c r="AG7" s="91" t="s">
        <v>63</v>
      </c>
      <c r="AH7" s="91" t="s">
        <v>64</v>
      </c>
      <c r="AI7" s="91" t="s">
        <v>65</v>
      </c>
      <c r="AJ7" s="92" t="s">
        <v>66</v>
      </c>
      <c r="AK7" s="92" t="s">
        <v>67</v>
      </c>
    </row>
    <row r="8" spans="1:40" ht="42.75" customHeight="1" thickBot="1" x14ac:dyDescent="0.3">
      <c r="G8" s="435"/>
      <c r="H8" s="448" t="s">
        <v>189</v>
      </c>
      <c r="I8" s="448" t="s">
        <v>190</v>
      </c>
      <c r="J8" s="448" t="s">
        <v>191</v>
      </c>
      <c r="K8" s="448" t="s">
        <v>192</v>
      </c>
      <c r="L8" s="448" t="s">
        <v>193</v>
      </c>
      <c r="M8" s="448" t="s">
        <v>194</v>
      </c>
      <c r="N8" s="448" t="s">
        <v>195</v>
      </c>
      <c r="O8" s="448" t="s">
        <v>196</v>
      </c>
      <c r="P8" s="448" t="s">
        <v>423</v>
      </c>
      <c r="Q8" s="448" t="s">
        <v>198</v>
      </c>
      <c r="R8" s="448" t="s">
        <v>199</v>
      </c>
      <c r="S8" s="448" t="s">
        <v>200</v>
      </c>
      <c r="T8" s="449" t="s">
        <v>201</v>
      </c>
      <c r="U8" s="437"/>
      <c r="V8" s="438"/>
      <c r="W8" s="650">
        <f>indicadores!E27</f>
        <v>0.19439999999999999</v>
      </c>
      <c r="X8" s="650">
        <f>indicadores!$D$54</f>
        <v>0.7</v>
      </c>
      <c r="Y8" s="439"/>
      <c r="Z8" s="485"/>
      <c r="AA8" s="489" t="s">
        <v>68</v>
      </c>
      <c r="AB8" s="489" t="s">
        <v>69</v>
      </c>
      <c r="AC8" s="489" t="s">
        <v>70</v>
      </c>
      <c r="AD8" s="489" t="s">
        <v>71</v>
      </c>
      <c r="AE8" s="489" t="s">
        <v>72</v>
      </c>
      <c r="AF8" s="489" t="s">
        <v>73</v>
      </c>
      <c r="AG8" s="489" t="s">
        <v>74</v>
      </c>
      <c r="AH8" s="489" t="s">
        <v>75</v>
      </c>
      <c r="AI8" s="489" t="s">
        <v>76</v>
      </c>
      <c r="AJ8" s="489" t="s">
        <v>77</v>
      </c>
      <c r="AK8" s="489" t="s">
        <v>78</v>
      </c>
    </row>
    <row r="9" spans="1:40" ht="26.25" customHeight="1" thickBot="1" x14ac:dyDescent="0.35">
      <c r="A9"/>
      <c r="B9"/>
      <c r="C9" s="64"/>
      <c r="D9" s="65"/>
      <c r="E9" s="66"/>
      <c r="F9" s="105"/>
      <c r="G9" s="19" t="s">
        <v>432</v>
      </c>
      <c r="H9" s="68">
        <f>REMA!DC6</f>
        <v>0</v>
      </c>
      <c r="I9" s="68">
        <f>REMA!DD6</f>
        <v>62</v>
      </c>
      <c r="J9" s="68">
        <f>REMA!DE6</f>
        <v>29</v>
      </c>
      <c r="K9" s="68">
        <f>REMA!DF6</f>
        <v>47</v>
      </c>
      <c r="L9" s="68">
        <f>REMA!DG6</f>
        <v>47</v>
      </c>
      <c r="M9" s="68">
        <f>REMA!DH6</f>
        <v>23</v>
      </c>
      <c r="N9" s="68">
        <f>REMA!DI6</f>
        <v>23</v>
      </c>
      <c r="O9" s="68">
        <f>REMA!DJ6</f>
        <v>21</v>
      </c>
      <c r="P9" s="68">
        <f>REMA!DK6</f>
        <v>23</v>
      </c>
      <c r="Q9" s="68">
        <f>REMA!DL6</f>
        <v>40</v>
      </c>
      <c r="R9" s="68">
        <f>REMA!DM6</f>
        <v>0</v>
      </c>
      <c r="S9" s="68">
        <f>REMA!DN6</f>
        <v>0</v>
      </c>
      <c r="T9" s="481">
        <f>SUM(H9:S9)</f>
        <v>315</v>
      </c>
      <c r="U9" s="85">
        <f>Poblacion2024!U6</f>
        <v>3532.473</v>
      </c>
      <c r="V9" s="35">
        <f>IF(U9=0,0,+T9/U9)</f>
        <v>8.9172656096734498E-2</v>
      </c>
      <c r="W9" s="660">
        <f>$W$8</f>
        <v>0.19439999999999999</v>
      </c>
      <c r="X9" s="660">
        <f>+W9*$X$8</f>
        <v>0.13607999999999998</v>
      </c>
      <c r="Y9" s="109">
        <f t="shared" ref="Y9:Y16" si="0">IF(+V9/X9&gt;1,1,+V9/X9)</f>
        <v>0.65529582669557984</v>
      </c>
      <c r="Z9" s="71">
        <f>+Y9*6.82/100</f>
        <v>4.4691175380638548E-2</v>
      </c>
      <c r="AA9" s="486">
        <f>W9</f>
        <v>0.19439999999999999</v>
      </c>
      <c r="AB9" s="486">
        <f>(AF9/AD9)</f>
        <v>8.9172656096734498E-2</v>
      </c>
      <c r="AC9" s="487">
        <f>AB9/AA9</f>
        <v>0.45870707868690586</v>
      </c>
      <c r="AD9" s="483">
        <f>U9</f>
        <v>3532.473</v>
      </c>
      <c r="AE9" s="484">
        <f>AD9*AA9</f>
        <v>686.71275119999996</v>
      </c>
      <c r="AF9" s="483">
        <f>T9</f>
        <v>315</v>
      </c>
      <c r="AG9" s="484">
        <f>AE9/$AH$4</f>
        <v>57.226062599999999</v>
      </c>
      <c r="AH9" s="484">
        <f>AG9*$AH$5</f>
        <v>572.260626</v>
      </c>
      <c r="AI9" s="484">
        <f>T9</f>
        <v>315</v>
      </c>
      <c r="AJ9" s="488">
        <f>AI9/AH9</f>
        <v>0.550448494424287</v>
      </c>
      <c r="AK9" s="427">
        <f>(AH9-AI9)*-1</f>
        <v>-257.260626</v>
      </c>
      <c r="AM9" s="64"/>
      <c r="AN9" s="64"/>
    </row>
    <row r="10" spans="1:40" ht="26.25" customHeight="1" thickBot="1" x14ac:dyDescent="0.35">
      <c r="A10"/>
      <c r="B10"/>
      <c r="C10" s="64"/>
      <c r="D10" s="65"/>
      <c r="E10" s="66"/>
      <c r="F10" s="105"/>
      <c r="G10" s="19" t="s">
        <v>433</v>
      </c>
      <c r="H10" s="73">
        <f>REMA!DC7</f>
        <v>0</v>
      </c>
      <c r="I10" s="73">
        <f>REMA!DD7</f>
        <v>44</v>
      </c>
      <c r="J10" s="73">
        <f>REMA!DE7</f>
        <v>25</v>
      </c>
      <c r="K10" s="73">
        <f>REMA!DF7</f>
        <v>54</v>
      </c>
      <c r="L10" s="73">
        <f>REMA!DG7</f>
        <v>38</v>
      </c>
      <c r="M10" s="73">
        <f>REMA!DH7</f>
        <v>45</v>
      </c>
      <c r="N10" s="73">
        <f>REMA!DI7</f>
        <v>82</v>
      </c>
      <c r="O10" s="73">
        <f>REMA!DJ7</f>
        <v>55</v>
      </c>
      <c r="P10" s="73">
        <f>REMA!DK7</f>
        <v>54</v>
      </c>
      <c r="Q10" s="73">
        <f>REMA!DL7</f>
        <v>33</v>
      </c>
      <c r="R10" s="73">
        <f>REMA!DM7</f>
        <v>0</v>
      </c>
      <c r="S10" s="73">
        <f>REMA!DN7</f>
        <v>0</v>
      </c>
      <c r="T10" s="477">
        <f>SUM(H10:S10)</f>
        <v>430</v>
      </c>
      <c r="U10" s="85">
        <f>Poblacion2024!U7</f>
        <v>3014</v>
      </c>
      <c r="V10" s="40">
        <f>IF(U10=0,0,+T10/U10)</f>
        <v>0.1426675514266755</v>
      </c>
      <c r="W10" s="661">
        <f t="shared" ref="W10:W16" si="1">$W$8</f>
        <v>0.19439999999999999</v>
      </c>
      <c r="X10" s="661">
        <f t="shared" ref="X10:X16" si="2">+W10*$X$8</f>
        <v>0.13607999999999998</v>
      </c>
      <c r="Y10" s="112">
        <f t="shared" si="0"/>
        <v>1</v>
      </c>
      <c r="Z10" s="77">
        <f t="shared" ref="Z10:Z16" si="3">+Y10*6.25/100</f>
        <v>6.25E-2</v>
      </c>
      <c r="AA10" s="144">
        <f t="shared" ref="AA10:AA16" si="4">W10</f>
        <v>0.19439999999999999</v>
      </c>
      <c r="AB10" s="144">
        <f t="shared" ref="AB10:AB16" si="5">(AF10/AD10)</f>
        <v>0.1426675514266755</v>
      </c>
      <c r="AC10" s="145">
        <f t="shared" ref="AC10:AC16" si="6">AB10/AA10</f>
        <v>0.73388658141293983</v>
      </c>
      <c r="AD10" s="483">
        <f t="shared" ref="AD10:AD16" si="7">U10</f>
        <v>3014</v>
      </c>
      <c r="AE10" s="484">
        <f t="shared" ref="AE10:AE16" si="8">AD10*AA10</f>
        <v>585.92160000000001</v>
      </c>
      <c r="AF10" s="483">
        <f t="shared" ref="AF10:AF16" si="9">T10</f>
        <v>430</v>
      </c>
      <c r="AG10" s="484">
        <f t="shared" ref="AG10:AG16" si="10">AE10/$AH$4</f>
        <v>48.826799999999999</v>
      </c>
      <c r="AH10" s="484">
        <f t="shared" ref="AH10:AH16" si="11">AG10*$AH$5</f>
        <v>488.26799999999997</v>
      </c>
      <c r="AI10" s="484">
        <f t="shared" ref="AI10:AI16" si="12">T10</f>
        <v>430</v>
      </c>
      <c r="AJ10" s="98">
        <f t="shared" ref="AJ10:AJ16" si="13">AI10/AH10</f>
        <v>0.88066389769552789</v>
      </c>
      <c r="AK10" s="427">
        <f t="shared" ref="AK10:AK16" si="14">(AH10-AI10)*-1</f>
        <v>-58.267999999999972</v>
      </c>
      <c r="AM10" s="64"/>
      <c r="AN10" s="64"/>
    </row>
    <row r="11" spans="1:40" ht="26.25" customHeight="1" thickBot="1" x14ac:dyDescent="0.35">
      <c r="A11"/>
      <c r="B11"/>
      <c r="C11" s="64"/>
      <c r="D11" s="65"/>
      <c r="E11" s="66"/>
      <c r="F11" s="105"/>
      <c r="G11" s="19" t="s">
        <v>434</v>
      </c>
      <c r="H11" s="73">
        <f>REMA!DC8</f>
        <v>40</v>
      </c>
      <c r="I11" s="73">
        <f>REMA!DD8</f>
        <v>24</v>
      </c>
      <c r="J11" s="73">
        <f>REMA!DE8</f>
        <v>4</v>
      </c>
      <c r="K11" s="73">
        <f>REMA!DF8</f>
        <v>15</v>
      </c>
      <c r="L11" s="73">
        <f>REMA!DG8</f>
        <v>19</v>
      </c>
      <c r="M11" s="73">
        <f>REMA!DH8</f>
        <v>34</v>
      </c>
      <c r="N11" s="73">
        <f>REMA!DI8</f>
        <v>30</v>
      </c>
      <c r="O11" s="73">
        <f>REMA!DJ8</f>
        <v>0</v>
      </c>
      <c r="P11" s="73">
        <f>REMA!DK8</f>
        <v>66</v>
      </c>
      <c r="Q11" s="73">
        <f>REMA!DL8</f>
        <v>96</v>
      </c>
      <c r="R11" s="73">
        <f>REMA!DM8</f>
        <v>0</v>
      </c>
      <c r="S11" s="73">
        <f>REMA!DN8</f>
        <v>0</v>
      </c>
      <c r="T11" s="477">
        <f t="shared" ref="T11:T15" si="15">SUM(H11:S11)</f>
        <v>328</v>
      </c>
      <c r="U11" s="651">
        <f>Poblacion2024!U8</f>
        <v>2570</v>
      </c>
      <c r="V11" s="40">
        <f t="shared" ref="V11:V16" si="16">IF(U11=0,0,+T11/U11)</f>
        <v>0.12762645914396886</v>
      </c>
      <c r="W11" s="661">
        <f t="shared" si="1"/>
        <v>0.19439999999999999</v>
      </c>
      <c r="X11" s="661">
        <f t="shared" si="2"/>
        <v>0.13607999999999998</v>
      </c>
      <c r="Y11" s="112">
        <f t="shared" si="0"/>
        <v>0.93787815361529159</v>
      </c>
      <c r="Z11" s="77">
        <f t="shared" si="3"/>
        <v>5.8617384600955724E-2</v>
      </c>
      <c r="AA11" s="144">
        <f t="shared" si="4"/>
        <v>0.19439999999999999</v>
      </c>
      <c r="AB11" s="144">
        <f t="shared" si="5"/>
        <v>0.12762645914396886</v>
      </c>
      <c r="AC11" s="145">
        <f t="shared" si="6"/>
        <v>0.65651470753070407</v>
      </c>
      <c r="AD11" s="483">
        <f t="shared" si="7"/>
        <v>2570</v>
      </c>
      <c r="AE11" s="484">
        <f t="shared" si="8"/>
        <v>499.60799999999995</v>
      </c>
      <c r="AF11" s="483">
        <f t="shared" si="9"/>
        <v>328</v>
      </c>
      <c r="AG11" s="484">
        <f t="shared" si="10"/>
        <v>41.633999999999993</v>
      </c>
      <c r="AH11" s="484">
        <f t="shared" si="11"/>
        <v>416.33999999999992</v>
      </c>
      <c r="AI11" s="484">
        <f t="shared" si="12"/>
        <v>328</v>
      </c>
      <c r="AJ11" s="98">
        <f t="shared" si="13"/>
        <v>0.78781764903684504</v>
      </c>
      <c r="AK11" s="427">
        <f t="shared" si="14"/>
        <v>-88.339999999999918</v>
      </c>
      <c r="AM11" s="64"/>
      <c r="AN11" s="64"/>
    </row>
    <row r="12" spans="1:40" ht="26.25" customHeight="1" thickBot="1" x14ac:dyDescent="0.35">
      <c r="A12"/>
      <c r="B12"/>
      <c r="C12" s="64"/>
      <c r="D12" s="65"/>
      <c r="E12" s="66"/>
      <c r="F12" s="105"/>
      <c r="G12" s="19" t="s">
        <v>435</v>
      </c>
      <c r="H12" s="73">
        <f>REMA!DC9</f>
        <v>29</v>
      </c>
      <c r="I12" s="73">
        <f>REMA!DD9</f>
        <v>26</v>
      </c>
      <c r="J12" s="73">
        <f>REMA!DE9</f>
        <v>15</v>
      </c>
      <c r="K12" s="73">
        <f>REMA!DF9</f>
        <v>42</v>
      </c>
      <c r="L12" s="73">
        <f>REMA!DG9</f>
        <v>56</v>
      </c>
      <c r="M12" s="73">
        <f>REMA!DH9</f>
        <v>68</v>
      </c>
      <c r="N12" s="73">
        <f>REMA!DI9</f>
        <v>45</v>
      </c>
      <c r="O12" s="73">
        <f>REMA!DJ9</f>
        <v>41</v>
      </c>
      <c r="P12" s="73">
        <f>REMA!DK9</f>
        <v>76</v>
      </c>
      <c r="Q12" s="73">
        <f>REMA!DL9</f>
        <v>67</v>
      </c>
      <c r="R12" s="73">
        <f>REMA!DM9</f>
        <v>0</v>
      </c>
      <c r="S12" s="73">
        <f>REMA!DN9</f>
        <v>0</v>
      </c>
      <c r="T12" s="477">
        <f t="shared" si="15"/>
        <v>465</v>
      </c>
      <c r="U12" s="85">
        <f>Poblacion2024!U9</f>
        <v>2713.8159999999998</v>
      </c>
      <c r="V12" s="40">
        <f t="shared" si="16"/>
        <v>0.17134544125320214</v>
      </c>
      <c r="W12" s="661">
        <f t="shared" si="1"/>
        <v>0.19439999999999999</v>
      </c>
      <c r="X12" s="661">
        <f t="shared" si="2"/>
        <v>0.13607999999999998</v>
      </c>
      <c r="Y12" s="112">
        <f t="shared" si="0"/>
        <v>1</v>
      </c>
      <c r="Z12" s="77">
        <f t="shared" si="3"/>
        <v>6.25E-2</v>
      </c>
      <c r="AA12" s="144">
        <f t="shared" si="4"/>
        <v>0.19439999999999999</v>
      </c>
      <c r="AB12" s="144">
        <f t="shared" si="5"/>
        <v>0.17134544125320214</v>
      </c>
      <c r="AC12" s="145">
        <f t="shared" si="6"/>
        <v>0.88140659080865302</v>
      </c>
      <c r="AD12" s="483">
        <f t="shared" si="7"/>
        <v>2713.8159999999998</v>
      </c>
      <c r="AE12" s="484">
        <f t="shared" si="8"/>
        <v>527.56583039999998</v>
      </c>
      <c r="AF12" s="483">
        <f t="shared" si="9"/>
        <v>465</v>
      </c>
      <c r="AG12" s="484">
        <f t="shared" si="10"/>
        <v>43.963819199999996</v>
      </c>
      <c r="AH12" s="484">
        <f t="shared" si="11"/>
        <v>439.63819199999995</v>
      </c>
      <c r="AI12" s="484">
        <f t="shared" si="12"/>
        <v>465</v>
      </c>
      <c r="AJ12" s="98">
        <f t="shared" si="13"/>
        <v>1.0576879089703837</v>
      </c>
      <c r="AK12" s="427">
        <f t="shared" si="14"/>
        <v>25.361808000000053</v>
      </c>
      <c r="AM12" s="64"/>
      <c r="AN12" s="64"/>
    </row>
    <row r="13" spans="1:40" ht="26.25" customHeight="1" thickBot="1" x14ac:dyDescent="0.35">
      <c r="A13"/>
      <c r="B13"/>
      <c r="C13" s="64"/>
      <c r="D13" s="65"/>
      <c r="E13" s="66"/>
      <c r="F13" s="105"/>
      <c r="G13" s="19" t="s">
        <v>436</v>
      </c>
      <c r="H13" s="73">
        <f>REMA!DC10</f>
        <v>18</v>
      </c>
      <c r="I13" s="73">
        <f>REMA!DD10</f>
        <v>10</v>
      </c>
      <c r="J13" s="73">
        <f>REMA!DE10</f>
        <v>22</v>
      </c>
      <c r="K13" s="73">
        <f>REMA!DF10</f>
        <v>23</v>
      </c>
      <c r="L13" s="73">
        <f>REMA!DG10</f>
        <v>51</v>
      </c>
      <c r="M13" s="73">
        <f>REMA!DH10</f>
        <v>88</v>
      </c>
      <c r="N13" s="73">
        <f>REMA!DI10</f>
        <v>36</v>
      </c>
      <c r="O13" s="73">
        <f>REMA!DJ10</f>
        <v>46</v>
      </c>
      <c r="P13" s="73">
        <f>REMA!DK10</f>
        <v>46</v>
      </c>
      <c r="Q13" s="73">
        <f>REMA!DL10</f>
        <v>76</v>
      </c>
      <c r="R13" s="73">
        <f>REMA!DM10</f>
        <v>0</v>
      </c>
      <c r="S13" s="73">
        <f>REMA!DN10</f>
        <v>0</v>
      </c>
      <c r="T13" s="477">
        <f t="shared" si="15"/>
        <v>416</v>
      </c>
      <c r="U13" s="85">
        <f>Poblacion2024!U10</f>
        <v>2527</v>
      </c>
      <c r="V13" s="40">
        <f t="shared" si="16"/>
        <v>0.16462208151958843</v>
      </c>
      <c r="W13" s="661">
        <f t="shared" si="1"/>
        <v>0.19439999999999999</v>
      </c>
      <c r="X13" s="661">
        <f t="shared" si="2"/>
        <v>0.13607999999999998</v>
      </c>
      <c r="Y13" s="112">
        <f t="shared" si="0"/>
        <v>1</v>
      </c>
      <c r="Z13" s="77">
        <f t="shared" si="3"/>
        <v>6.25E-2</v>
      </c>
      <c r="AA13" s="144">
        <f t="shared" si="4"/>
        <v>0.19439999999999999</v>
      </c>
      <c r="AB13" s="144">
        <f t="shared" si="5"/>
        <v>0.16462208151958843</v>
      </c>
      <c r="AC13" s="145">
        <f t="shared" si="6"/>
        <v>0.84682140699376773</v>
      </c>
      <c r="AD13" s="483">
        <f t="shared" si="7"/>
        <v>2527</v>
      </c>
      <c r="AE13" s="484">
        <f t="shared" si="8"/>
        <v>491.24879999999996</v>
      </c>
      <c r="AF13" s="483">
        <f t="shared" si="9"/>
        <v>416</v>
      </c>
      <c r="AG13" s="484">
        <f t="shared" si="10"/>
        <v>40.937399999999997</v>
      </c>
      <c r="AH13" s="484">
        <f t="shared" si="11"/>
        <v>409.37399999999997</v>
      </c>
      <c r="AI13" s="484">
        <f t="shared" si="12"/>
        <v>416</v>
      </c>
      <c r="AJ13" s="98">
        <f t="shared" si="13"/>
        <v>1.0161856883925213</v>
      </c>
      <c r="AK13" s="427">
        <f t="shared" si="14"/>
        <v>6.6260000000000332</v>
      </c>
      <c r="AM13" s="64"/>
      <c r="AN13" s="64"/>
    </row>
    <row r="14" spans="1:40" ht="26.25" customHeight="1" thickBot="1" x14ac:dyDescent="0.35">
      <c r="A14"/>
      <c r="B14"/>
      <c r="C14" s="64"/>
      <c r="D14" s="65"/>
      <c r="E14" s="66"/>
      <c r="F14" s="105"/>
      <c r="G14" s="19" t="s">
        <v>437</v>
      </c>
      <c r="H14" s="73">
        <f>REMA!DC11</f>
        <v>3</v>
      </c>
      <c r="I14" s="73">
        <f>REMA!DD11</f>
        <v>0</v>
      </c>
      <c r="J14" s="73">
        <f>REMA!DE11</f>
        <v>1</v>
      </c>
      <c r="K14" s="73">
        <f>REMA!DF11</f>
        <v>0</v>
      </c>
      <c r="L14" s="73">
        <f>REMA!DG11</f>
        <v>0</v>
      </c>
      <c r="M14" s="73">
        <f>REMA!DH11</f>
        <v>0</v>
      </c>
      <c r="N14" s="73">
        <f>REMA!DI11</f>
        <v>0</v>
      </c>
      <c r="O14" s="73">
        <f>REMA!DJ11</f>
        <v>2</v>
      </c>
      <c r="P14" s="73">
        <f>REMA!DK11</f>
        <v>0</v>
      </c>
      <c r="Q14" s="73">
        <f>REMA!DL11</f>
        <v>0</v>
      </c>
      <c r="R14" s="73">
        <f>REMA!DM11</f>
        <v>0</v>
      </c>
      <c r="S14" s="73">
        <f>REMA!DN11</f>
        <v>0</v>
      </c>
      <c r="T14" s="477">
        <f t="shared" si="15"/>
        <v>6</v>
      </c>
      <c r="U14" s="85">
        <f>Poblacion2024!U11</f>
        <v>46.526999999999994</v>
      </c>
      <c r="V14" s="40">
        <f t="shared" si="16"/>
        <v>0.12895737958604683</v>
      </c>
      <c r="W14" s="661">
        <f t="shared" si="1"/>
        <v>0.19439999999999999</v>
      </c>
      <c r="X14" s="661">
        <f t="shared" si="2"/>
        <v>0.13607999999999998</v>
      </c>
      <c r="Y14" s="112">
        <f t="shared" si="0"/>
        <v>0.94765858014437721</v>
      </c>
      <c r="Z14" s="77">
        <f t="shared" si="3"/>
        <v>5.9228661259023575E-2</v>
      </c>
      <c r="AA14" s="144">
        <f t="shared" si="4"/>
        <v>0.19439999999999999</v>
      </c>
      <c r="AB14" s="144">
        <f t="shared" si="5"/>
        <v>0.12895737958604683</v>
      </c>
      <c r="AC14" s="145">
        <f t="shared" si="6"/>
        <v>0.66336100610106397</v>
      </c>
      <c r="AD14" s="483">
        <f t="shared" si="7"/>
        <v>46.526999999999994</v>
      </c>
      <c r="AE14" s="484">
        <f t="shared" si="8"/>
        <v>9.0448487999999987</v>
      </c>
      <c r="AF14" s="483">
        <f t="shared" si="9"/>
        <v>6</v>
      </c>
      <c r="AG14" s="484">
        <f t="shared" si="10"/>
        <v>0.75373739999999989</v>
      </c>
      <c r="AH14" s="484">
        <f t="shared" si="11"/>
        <v>7.5373739999999989</v>
      </c>
      <c r="AI14" s="484">
        <f t="shared" si="12"/>
        <v>6</v>
      </c>
      <c r="AJ14" s="98">
        <f t="shared" si="13"/>
        <v>0.79603320732127669</v>
      </c>
      <c r="AK14" s="427">
        <f t="shared" si="14"/>
        <v>-1.5373739999999989</v>
      </c>
      <c r="AM14" s="64"/>
      <c r="AN14" s="64"/>
    </row>
    <row r="15" spans="1:40" ht="26.2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113">
        <f>REMA!DC12</f>
        <v>0</v>
      </c>
      <c r="I15" s="113">
        <f>REMA!DD12</f>
        <v>0</v>
      </c>
      <c r="J15" s="113">
        <f>REMA!DE12</f>
        <v>6</v>
      </c>
      <c r="K15" s="113">
        <f>REMA!DF12</f>
        <v>5</v>
      </c>
      <c r="L15" s="113">
        <f>REMA!DG12</f>
        <v>0</v>
      </c>
      <c r="M15" s="113">
        <f>REMA!DH12</f>
        <v>2</v>
      </c>
      <c r="N15" s="113">
        <f>REMA!DI12</f>
        <v>25</v>
      </c>
      <c r="O15" s="113">
        <f>REMA!DJ12</f>
        <v>20</v>
      </c>
      <c r="P15" s="113">
        <f>REMA!DK12</f>
        <v>14</v>
      </c>
      <c r="Q15" s="113">
        <f>REMA!DL12</f>
        <v>3</v>
      </c>
      <c r="R15" s="113">
        <f>REMA!DM12</f>
        <v>0</v>
      </c>
      <c r="S15" s="113">
        <f>REMA!DN12</f>
        <v>0</v>
      </c>
      <c r="T15" s="614">
        <f t="shared" si="15"/>
        <v>75</v>
      </c>
      <c r="U15" s="85">
        <f>Poblacion2024!U12</f>
        <v>716.18400000000008</v>
      </c>
      <c r="V15" s="54">
        <f t="shared" si="16"/>
        <v>0.10472169163231794</v>
      </c>
      <c r="W15" s="662">
        <f t="shared" si="1"/>
        <v>0.19439999999999999</v>
      </c>
      <c r="X15" s="662">
        <f t="shared" si="2"/>
        <v>0.13607999999999998</v>
      </c>
      <c r="Y15" s="115">
        <f t="shared" si="0"/>
        <v>0.76955975626335948</v>
      </c>
      <c r="Z15" s="77">
        <f t="shared" si="3"/>
        <v>4.8097484766459961E-2</v>
      </c>
      <c r="AA15" s="539">
        <f t="shared" si="4"/>
        <v>0.19439999999999999</v>
      </c>
      <c r="AB15" s="539">
        <f t="shared" si="5"/>
        <v>0.10472169163231794</v>
      </c>
      <c r="AC15" s="540">
        <f t="shared" si="6"/>
        <v>0.53869182938435156</v>
      </c>
      <c r="AD15" s="483">
        <f t="shared" si="7"/>
        <v>716.18400000000008</v>
      </c>
      <c r="AE15" s="484">
        <f t="shared" si="8"/>
        <v>139.22616960000002</v>
      </c>
      <c r="AF15" s="483">
        <f t="shared" si="9"/>
        <v>75</v>
      </c>
      <c r="AG15" s="484">
        <f t="shared" si="10"/>
        <v>11.602180800000001</v>
      </c>
      <c r="AH15" s="484">
        <f t="shared" si="11"/>
        <v>116.02180800000001</v>
      </c>
      <c r="AI15" s="484">
        <f t="shared" si="12"/>
        <v>75</v>
      </c>
      <c r="AJ15" s="541">
        <f t="shared" si="13"/>
        <v>0.64643019526122192</v>
      </c>
      <c r="AK15" s="427">
        <f t="shared" si="14"/>
        <v>-41.021808000000007</v>
      </c>
      <c r="AM15" s="64"/>
      <c r="AN15" s="64"/>
    </row>
    <row r="16" spans="1:40" ht="26.25" customHeight="1" thickBot="1" x14ac:dyDescent="0.35">
      <c r="A16"/>
      <c r="B16"/>
      <c r="C16" s="64"/>
      <c r="D16" s="65"/>
      <c r="E16" s="66"/>
      <c r="F16" s="105"/>
      <c r="G16" s="538" t="s">
        <v>15</v>
      </c>
      <c r="H16" s="84">
        <f>SUM(H9:H15)</f>
        <v>90</v>
      </c>
      <c r="I16" s="84">
        <f t="shared" ref="I16:S16" si="17">SUM(I9:I15)</f>
        <v>166</v>
      </c>
      <c r="J16" s="84">
        <f t="shared" si="17"/>
        <v>102</v>
      </c>
      <c r="K16" s="84">
        <f t="shared" si="17"/>
        <v>186</v>
      </c>
      <c r="L16" s="84">
        <f t="shared" si="17"/>
        <v>211</v>
      </c>
      <c r="M16" s="84">
        <f t="shared" si="17"/>
        <v>260</v>
      </c>
      <c r="N16" s="84">
        <f t="shared" si="17"/>
        <v>241</v>
      </c>
      <c r="O16" s="84">
        <f t="shared" si="17"/>
        <v>185</v>
      </c>
      <c r="P16" s="84">
        <f t="shared" si="17"/>
        <v>279</v>
      </c>
      <c r="Q16" s="84">
        <f t="shared" si="17"/>
        <v>315</v>
      </c>
      <c r="R16" s="84">
        <f t="shared" si="17"/>
        <v>0</v>
      </c>
      <c r="S16" s="84">
        <f t="shared" si="17"/>
        <v>0</v>
      </c>
      <c r="T16" s="600">
        <f>SUM(T9:T15)</f>
        <v>2035</v>
      </c>
      <c r="U16" s="85">
        <f>SUM(U9:U15)</f>
        <v>15120</v>
      </c>
      <c r="V16" s="475">
        <f t="shared" si="16"/>
        <v>0.13458994708994709</v>
      </c>
      <c r="W16" s="672">
        <f t="shared" si="1"/>
        <v>0.19439999999999999</v>
      </c>
      <c r="X16" s="672">
        <f t="shared" si="2"/>
        <v>0.13607999999999998</v>
      </c>
      <c r="Y16" s="507">
        <f t="shared" si="0"/>
        <v>0.98905016967921155</v>
      </c>
      <c r="Z16" s="508">
        <f t="shared" si="3"/>
        <v>6.1815635604950722E-2</v>
      </c>
      <c r="AA16" s="542">
        <f t="shared" si="4"/>
        <v>0.19439999999999999</v>
      </c>
      <c r="AB16" s="542">
        <f t="shared" si="5"/>
        <v>0.13458994708994709</v>
      </c>
      <c r="AC16" s="543">
        <f t="shared" si="6"/>
        <v>0.69233511877544807</v>
      </c>
      <c r="AD16" s="601">
        <f t="shared" si="7"/>
        <v>15120</v>
      </c>
      <c r="AE16" s="602">
        <f t="shared" si="8"/>
        <v>2939.328</v>
      </c>
      <c r="AF16" s="601">
        <f t="shared" si="9"/>
        <v>2035</v>
      </c>
      <c r="AG16" s="484">
        <f t="shared" si="10"/>
        <v>244.94399999999999</v>
      </c>
      <c r="AH16" s="602">
        <f t="shared" si="11"/>
        <v>2449.44</v>
      </c>
      <c r="AI16" s="602">
        <f t="shared" si="12"/>
        <v>2035</v>
      </c>
      <c r="AJ16" s="546">
        <f t="shared" si="13"/>
        <v>0.83080214253053752</v>
      </c>
      <c r="AK16" s="427">
        <f t="shared" si="14"/>
        <v>-414.44000000000005</v>
      </c>
      <c r="AM16" s="64"/>
      <c r="AN16" s="64"/>
    </row>
    <row r="17" spans="3:24" x14ac:dyDescent="0.25">
      <c r="C17" s="64"/>
      <c r="D17" s="65"/>
      <c r="W17" s="57"/>
      <c r="X17" s="5"/>
    </row>
  </sheetData>
  <autoFilter ref="G4:Z16" xr:uid="{00000000-0001-0000-0A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9">
    <mergeCell ref="G1:Z1"/>
    <mergeCell ref="G2:V2"/>
    <mergeCell ref="W2:Z2"/>
    <mergeCell ref="H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D3BF-B321-4C64-B9FF-01E9390106EB}">
  <sheetPr codeName="Hoja14">
    <tabColor rgb="FF00B050"/>
  </sheetPr>
  <dimension ref="A1:AM17"/>
  <sheetViews>
    <sheetView topLeftCell="A4" zoomScale="85" zoomScaleNormal="85" workbookViewId="0">
      <selection activeCell="O20" sqref="O20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21" style="5" customWidth="1"/>
    <col min="8" max="8" width="23" style="5" hidden="1" customWidth="1"/>
    <col min="9" max="9" width="6.5703125" style="5" bestFit="1" customWidth="1"/>
    <col min="10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5" width="4.7109375" style="5" bestFit="1" customWidth="1"/>
    <col min="16" max="16" width="5.140625" style="5" bestFit="1" customWidth="1"/>
    <col min="17" max="17" width="5.85546875" style="5" bestFit="1" customWidth="1"/>
    <col min="18" max="18" width="6.5703125" style="5" bestFit="1" customWidth="1"/>
    <col min="19" max="19" width="5.28515625" style="5" bestFit="1" customWidth="1"/>
    <col min="20" max="20" width="4.42578125" style="5" bestFit="1" customWidth="1"/>
    <col min="21" max="21" width="6.5703125" style="5" bestFit="1" customWidth="1"/>
    <col min="22" max="22" width="20.85546875" style="5" customWidth="1"/>
    <col min="23" max="23" width="14.85546875" style="6" customWidth="1"/>
    <col min="24" max="24" width="12.5703125" style="5" customWidth="1"/>
    <col min="25" max="25" width="14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5" t="str">
        <f>+NOMBRE!B7</f>
        <v>ENERO - OCTUBRE 2024</v>
      </c>
      <c r="Y2" s="905"/>
      <c r="Z2" s="905"/>
      <c r="AA2" s="905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906" t="s">
        <v>474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07"/>
      <c r="W4" s="907"/>
      <c r="X4" s="907"/>
      <c r="Y4" s="907"/>
      <c r="Z4" s="907"/>
      <c r="AA4" s="908"/>
      <c r="AB4" s="5"/>
      <c r="AC4" s="5"/>
      <c r="AE4" s="6"/>
      <c r="AG4" s="5"/>
      <c r="AH4" s="87" t="s">
        <v>45</v>
      </c>
      <c r="AI4" s="88">
        <v>12</v>
      </c>
      <c r="AJ4" s="6"/>
      <c r="AK4" s="6"/>
      <c r="AL4" s="5"/>
    </row>
    <row r="5" spans="1:39" ht="23.25" customHeight="1" thickBot="1" x14ac:dyDescent="0.3">
      <c r="G5" s="58"/>
      <c r="H5" s="909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1"/>
      <c r="AB5" s="5"/>
      <c r="AC5" s="5"/>
      <c r="AE5" s="6"/>
      <c r="AG5" s="5"/>
      <c r="AH5" s="87" t="s">
        <v>46</v>
      </c>
      <c r="AI5" s="88">
        <f>meta3!AB2</f>
        <v>10</v>
      </c>
      <c r="AJ5" s="6"/>
      <c r="AL5" s="5"/>
    </row>
    <row r="6" spans="1:39" ht="51.75" customHeight="1" thickBot="1" x14ac:dyDescent="0.3">
      <c r="G6" s="58"/>
      <c r="H6" s="933" t="s">
        <v>4</v>
      </c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5"/>
      <c r="V6" s="8" t="s">
        <v>5</v>
      </c>
      <c r="W6" s="912" t="s">
        <v>6</v>
      </c>
      <c r="X6" s="914">
        <f>+NOMBRE!$B$9</f>
        <v>2024</v>
      </c>
      <c r="Y6" s="915"/>
      <c r="Z6" s="916" t="s">
        <v>7</v>
      </c>
      <c r="AA6" s="917"/>
      <c r="AB6" s="89" t="s">
        <v>47</v>
      </c>
      <c r="AC6" s="89" t="s">
        <v>48</v>
      </c>
      <c r="AD6" s="89" t="s">
        <v>49</v>
      </c>
      <c r="AE6" s="89" t="s">
        <v>50</v>
      </c>
      <c r="AF6" s="89" t="s">
        <v>51</v>
      </c>
      <c r="AG6" s="89" t="s">
        <v>52</v>
      </c>
      <c r="AH6" s="89" t="s">
        <v>45</v>
      </c>
      <c r="AI6" s="89" t="s">
        <v>53</v>
      </c>
      <c r="AJ6" s="89" t="s">
        <v>54</v>
      </c>
      <c r="AK6" s="89" t="s">
        <v>55</v>
      </c>
      <c r="AL6" s="89" t="s">
        <v>56</v>
      </c>
    </row>
    <row r="7" spans="1:39" ht="95.25" customHeight="1" thickBot="1" x14ac:dyDescent="0.3">
      <c r="G7" s="603" t="s">
        <v>431</v>
      </c>
      <c r="H7" s="918" t="s">
        <v>105</v>
      </c>
      <c r="I7" s="919"/>
      <c r="J7" s="919"/>
      <c r="K7" s="919"/>
      <c r="L7" s="919"/>
      <c r="M7" s="919"/>
      <c r="N7" s="919"/>
      <c r="O7" s="919"/>
      <c r="P7" s="919"/>
      <c r="Q7" s="919"/>
      <c r="R7" s="919"/>
      <c r="S7" s="919"/>
      <c r="T7" s="919"/>
      <c r="U7" s="920"/>
      <c r="V7" s="11" t="s">
        <v>106</v>
      </c>
      <c r="W7" s="913"/>
      <c r="X7" s="12" t="s">
        <v>11</v>
      </c>
      <c r="Y7" s="490" t="s">
        <v>43</v>
      </c>
      <c r="Z7" s="14" t="s">
        <v>13</v>
      </c>
      <c r="AA7" s="14" t="s">
        <v>504</v>
      </c>
      <c r="AB7" s="90" t="s">
        <v>57</v>
      </c>
      <c r="AC7" s="90" t="s">
        <v>58</v>
      </c>
      <c r="AD7" s="90" t="s">
        <v>59</v>
      </c>
      <c r="AE7" s="91" t="s">
        <v>60</v>
      </c>
      <c r="AF7" s="91" t="s">
        <v>61</v>
      </c>
      <c r="AG7" s="91" t="s">
        <v>62</v>
      </c>
      <c r="AH7" s="91" t="s">
        <v>63</v>
      </c>
      <c r="AI7" s="91" t="s">
        <v>64</v>
      </c>
      <c r="AJ7" s="91" t="s">
        <v>65</v>
      </c>
      <c r="AK7" s="92" t="s">
        <v>66</v>
      </c>
      <c r="AL7" s="92" t="s">
        <v>67</v>
      </c>
    </row>
    <row r="8" spans="1:39" ht="18" thickBot="1" x14ac:dyDescent="0.3">
      <c r="G8" s="435"/>
      <c r="H8" s="436"/>
      <c r="I8" s="448" t="s">
        <v>189</v>
      </c>
      <c r="J8" s="448" t="s">
        <v>190</v>
      </c>
      <c r="K8" s="448" t="s">
        <v>191</v>
      </c>
      <c r="L8" s="448" t="s">
        <v>192</v>
      </c>
      <c r="M8" s="448" t="s">
        <v>193</v>
      </c>
      <c r="N8" s="448" t="s">
        <v>194</v>
      </c>
      <c r="O8" s="448" t="s">
        <v>195</v>
      </c>
      <c r="P8" s="448" t="s">
        <v>196</v>
      </c>
      <c r="Q8" s="448" t="s">
        <v>423</v>
      </c>
      <c r="R8" s="448" t="s">
        <v>198</v>
      </c>
      <c r="S8" s="448" t="s">
        <v>199</v>
      </c>
      <c r="T8" s="448" t="s">
        <v>200</v>
      </c>
      <c r="U8" s="500" t="s">
        <v>201</v>
      </c>
      <c r="V8" s="437"/>
      <c r="W8" s="438"/>
      <c r="X8" s="652">
        <f>indicadores!E28</f>
        <v>0.46839999999999998</v>
      </c>
      <c r="Y8" s="649">
        <f>indicadores!$D$54</f>
        <v>0.7</v>
      </c>
      <c r="Z8" s="439"/>
      <c r="AA8" s="439">
        <v>5.49</v>
      </c>
      <c r="AB8" s="93" t="s">
        <v>68</v>
      </c>
      <c r="AC8" s="93" t="s">
        <v>69</v>
      </c>
      <c r="AD8" s="93" t="s">
        <v>70</v>
      </c>
      <c r="AE8" s="93" t="s">
        <v>71</v>
      </c>
      <c r="AF8" s="93" t="s">
        <v>72</v>
      </c>
      <c r="AG8" s="93" t="s">
        <v>73</v>
      </c>
      <c r="AH8" s="93" t="s">
        <v>74</v>
      </c>
      <c r="AI8" s="93" t="s">
        <v>75</v>
      </c>
      <c r="AJ8" s="93" t="s">
        <v>76</v>
      </c>
      <c r="AK8" s="93" t="s">
        <v>77</v>
      </c>
      <c r="AL8" s="93" t="s">
        <v>78</v>
      </c>
    </row>
    <row r="9" spans="1:39" ht="15" customHeight="1" x14ac:dyDescent="0.3">
      <c r="A9"/>
      <c r="B9"/>
      <c r="C9" s="64"/>
      <c r="D9" s="65"/>
      <c r="E9" s="66"/>
      <c r="F9" s="105"/>
      <c r="G9" s="19" t="s">
        <v>432</v>
      </c>
      <c r="H9" s="68" t="e">
        <f>+REMC!#REF!</f>
        <v>#REF!</v>
      </c>
      <c r="I9" s="68">
        <f>REMC!CL6</f>
        <v>173</v>
      </c>
      <c r="J9" s="68">
        <f>REMC!CM6</f>
        <v>173</v>
      </c>
      <c r="K9" s="68">
        <f>REMC!CN6</f>
        <v>168</v>
      </c>
      <c r="L9" s="68">
        <f>REMC!CO6</f>
        <v>178</v>
      </c>
      <c r="M9" s="68">
        <f>REMC!CP6</f>
        <v>138</v>
      </c>
      <c r="N9" s="68">
        <f>REMC!CQ6</f>
        <v>190</v>
      </c>
      <c r="O9" s="68">
        <f>REMC!CR6</f>
        <v>181</v>
      </c>
      <c r="P9" s="68">
        <f>REMC!CS6</f>
        <v>209</v>
      </c>
      <c r="Q9" s="68">
        <f>REMC!CT6</f>
        <v>278</v>
      </c>
      <c r="R9" s="68">
        <f>REMC!CU6</f>
        <v>272</v>
      </c>
      <c r="S9" s="68">
        <f>REMC!CV6</f>
        <v>0</v>
      </c>
      <c r="T9" s="68">
        <f>REMC!CW6</f>
        <v>0</v>
      </c>
      <c r="U9" s="501">
        <f>SUM(I9:T9)</f>
        <v>1960</v>
      </c>
      <c r="V9" s="498">
        <f>Poblacion2024!W6</f>
        <v>5153.1270000000004</v>
      </c>
      <c r="W9" s="503">
        <f>IF(V9=0,0,+U9/V9)</f>
        <v>0.38035158070041741</v>
      </c>
      <c r="X9" s="653">
        <f>$X$8</f>
        <v>0.46839999999999998</v>
      </c>
      <c r="Y9" s="653">
        <f>+X9*$Y$8</f>
        <v>0.32787999999999995</v>
      </c>
      <c r="Z9" s="751">
        <f t="shared" ref="Z9:Z16" si="0">IF(+W9/Y9&gt;1,1,+W9/Y9)</f>
        <v>1</v>
      </c>
      <c r="AA9" s="71">
        <f>+Z9*$AA$8/100</f>
        <v>5.4900000000000004E-2</v>
      </c>
      <c r="AB9" s="734">
        <f>X9</f>
        <v>0.46839999999999998</v>
      </c>
      <c r="AC9" s="144">
        <f>(AG9/AE9)</f>
        <v>0.38035158070041741</v>
      </c>
      <c r="AD9" s="145">
        <f>AC9/AB9</f>
        <v>0.81202301601284677</v>
      </c>
      <c r="AE9" s="96">
        <f>V9</f>
        <v>5153.1270000000004</v>
      </c>
      <c r="AF9" s="97">
        <f>AE9*AB9</f>
        <v>2413.7246868000002</v>
      </c>
      <c r="AG9" s="96">
        <f>U9</f>
        <v>1960</v>
      </c>
      <c r="AH9" s="97">
        <f>AF9/$AI$4</f>
        <v>201.14372390000003</v>
      </c>
      <c r="AI9" s="97">
        <f>AH9*$AI$5</f>
        <v>2011.4372390000003</v>
      </c>
      <c r="AJ9" s="97">
        <f>U9</f>
        <v>1960</v>
      </c>
      <c r="AK9" s="98">
        <f>AJ9/AI9</f>
        <v>0.97442761921541599</v>
      </c>
      <c r="AL9" s="427">
        <f>(AI9-AJ9)*-1</f>
        <v>-51.437239000000318</v>
      </c>
    </row>
    <row r="10" spans="1:39" ht="15" customHeight="1" x14ac:dyDescent="0.3">
      <c r="A10"/>
      <c r="B10"/>
      <c r="C10" s="64"/>
      <c r="D10" s="65"/>
      <c r="E10" s="66"/>
      <c r="F10" s="105"/>
      <c r="G10" s="19" t="s">
        <v>433</v>
      </c>
      <c r="H10" s="73" t="e">
        <f>+REMC!#REF!</f>
        <v>#REF!</v>
      </c>
      <c r="I10" s="73">
        <f>REMC!CL7</f>
        <v>132</v>
      </c>
      <c r="J10" s="73">
        <f>REMC!CM7</f>
        <v>79</v>
      </c>
      <c r="K10" s="73">
        <f>REMC!CN7</f>
        <v>124</v>
      </c>
      <c r="L10" s="73">
        <f>REMC!CO7</f>
        <v>129</v>
      </c>
      <c r="M10" s="73">
        <f>REMC!CP7</f>
        <v>131</v>
      </c>
      <c r="N10" s="73">
        <f>REMC!CQ7</f>
        <v>69</v>
      </c>
      <c r="O10" s="73">
        <f>REMC!CR7</f>
        <v>157</v>
      </c>
      <c r="P10" s="73">
        <f>REMC!CS7</f>
        <v>147</v>
      </c>
      <c r="Q10" s="73">
        <f>REMC!CT7</f>
        <v>131</v>
      </c>
      <c r="R10" s="73">
        <f>REMC!CU7</f>
        <v>193</v>
      </c>
      <c r="S10" s="73">
        <f>REMC!CV7</f>
        <v>0</v>
      </c>
      <c r="T10" s="73">
        <f>REMC!CW7</f>
        <v>0</v>
      </c>
      <c r="U10" s="502">
        <f t="shared" ref="U10:U15" si="1">SUM(I10:T10)</f>
        <v>1292</v>
      </c>
      <c r="V10" s="499">
        <f>Poblacion2024!W7</f>
        <v>4340</v>
      </c>
      <c r="W10" s="504">
        <f t="shared" ref="W10:W16" si="2">IF(V10=0,0,+U10/V10)</f>
        <v>0.29769585253456221</v>
      </c>
      <c r="X10" s="654">
        <f>$X$8</f>
        <v>0.46839999999999998</v>
      </c>
      <c r="Y10" s="654">
        <f t="shared" ref="Y10:Y16" si="3">+X10*$Y$8</f>
        <v>0.32787999999999995</v>
      </c>
      <c r="Z10" s="752">
        <f t="shared" si="0"/>
        <v>0.90794148022008736</v>
      </c>
      <c r="AA10" s="77">
        <f t="shared" ref="AA10:AA16" si="4">+Z10*$AA$8/100</f>
        <v>4.9845987264082792E-2</v>
      </c>
      <c r="AB10" s="734">
        <f t="shared" ref="AB10:AB16" si="5">X10</f>
        <v>0.46839999999999998</v>
      </c>
      <c r="AC10" s="144">
        <f t="shared" ref="AC10:AC16" si="6">(AG10/AE10)</f>
        <v>0.29769585253456221</v>
      </c>
      <c r="AD10" s="145">
        <f t="shared" ref="AD10:AD16" si="7">AC10/AB10</f>
        <v>0.63555903615406106</v>
      </c>
      <c r="AE10" s="96">
        <f t="shared" ref="AE10:AE16" si="8">V10</f>
        <v>4340</v>
      </c>
      <c r="AF10" s="97">
        <f t="shared" ref="AF10:AF16" si="9">AE10*AB10</f>
        <v>2032.856</v>
      </c>
      <c r="AG10" s="96">
        <f t="shared" ref="AG10:AG16" si="10">U10</f>
        <v>1292</v>
      </c>
      <c r="AH10" s="97">
        <f t="shared" ref="AH10:AH16" si="11">AF10/$AI$4</f>
        <v>169.40466666666666</v>
      </c>
      <c r="AI10" s="97">
        <f t="shared" ref="AI10:AI16" si="12">AH10*$AI$5</f>
        <v>1694.0466666666666</v>
      </c>
      <c r="AJ10" s="97">
        <f t="shared" ref="AJ10:AJ16" si="13">U10</f>
        <v>1292</v>
      </c>
      <c r="AK10" s="98">
        <f t="shared" ref="AK10:AK16" si="14">AJ10/AI10</f>
        <v>0.76267084338487334</v>
      </c>
      <c r="AL10" s="427">
        <f t="shared" ref="AL10:AL16" si="15">(AI10-AJ10)*-1</f>
        <v>-402.04666666666662</v>
      </c>
    </row>
    <row r="11" spans="1:39" ht="15" customHeight="1" x14ac:dyDescent="0.3">
      <c r="A11"/>
      <c r="B11"/>
      <c r="C11" s="64"/>
      <c r="D11" s="65"/>
      <c r="E11" s="66"/>
      <c r="F11" s="105"/>
      <c r="G11" s="19" t="s">
        <v>434</v>
      </c>
      <c r="H11" s="73" t="e">
        <f>+REMC!#REF!</f>
        <v>#REF!</v>
      </c>
      <c r="I11" s="73">
        <f>REMC!CL8</f>
        <v>115</v>
      </c>
      <c r="J11" s="73">
        <f>REMC!CM8</f>
        <v>75</v>
      </c>
      <c r="K11" s="73">
        <f>REMC!CN8</f>
        <v>114</v>
      </c>
      <c r="L11" s="73">
        <f>REMC!CO8</f>
        <v>95</v>
      </c>
      <c r="M11" s="73">
        <f>REMC!CP8</f>
        <v>144</v>
      </c>
      <c r="N11" s="73">
        <f>REMC!CQ8</f>
        <v>156</v>
      </c>
      <c r="O11" s="73">
        <f>REMC!CR8</f>
        <v>141</v>
      </c>
      <c r="P11" s="73">
        <f>REMC!CS8</f>
        <v>145</v>
      </c>
      <c r="Q11" s="73">
        <f>REMC!CT8</f>
        <v>148</v>
      </c>
      <c r="R11" s="73">
        <f>REMC!CU8</f>
        <v>187</v>
      </c>
      <c r="S11" s="73">
        <f>REMC!CV8</f>
        <v>0</v>
      </c>
      <c r="T11" s="73">
        <f>REMC!CW8</f>
        <v>0</v>
      </c>
      <c r="U11" s="502">
        <f t="shared" si="1"/>
        <v>1320</v>
      </c>
      <c r="V11" s="499">
        <f>Poblacion2024!W8</f>
        <v>4397</v>
      </c>
      <c r="W11" s="504">
        <f t="shared" si="2"/>
        <v>0.30020468501250852</v>
      </c>
      <c r="X11" s="654">
        <f t="shared" ref="X11:X16" si="16">$X$8</f>
        <v>0.46839999999999998</v>
      </c>
      <c r="Y11" s="654">
        <f t="shared" si="3"/>
        <v>0.32787999999999995</v>
      </c>
      <c r="Z11" s="752">
        <f t="shared" si="0"/>
        <v>0.91559315912074102</v>
      </c>
      <c r="AA11" s="77">
        <f t="shared" si="4"/>
        <v>5.0266064435728681E-2</v>
      </c>
      <c r="AB11" s="734">
        <f t="shared" si="5"/>
        <v>0.46839999999999998</v>
      </c>
      <c r="AC11" s="144">
        <f t="shared" si="6"/>
        <v>0.30020468501250852</v>
      </c>
      <c r="AD11" s="145">
        <f t="shared" si="7"/>
        <v>0.64091521138451868</v>
      </c>
      <c r="AE11" s="96">
        <f t="shared" si="8"/>
        <v>4397</v>
      </c>
      <c r="AF11" s="97">
        <f t="shared" si="9"/>
        <v>2059.5547999999999</v>
      </c>
      <c r="AG11" s="96">
        <f t="shared" si="10"/>
        <v>1320</v>
      </c>
      <c r="AH11" s="97">
        <f t="shared" si="11"/>
        <v>171.62956666666665</v>
      </c>
      <c r="AI11" s="97">
        <f t="shared" si="12"/>
        <v>1716.2956666666664</v>
      </c>
      <c r="AJ11" s="97">
        <f t="shared" si="13"/>
        <v>1320</v>
      </c>
      <c r="AK11" s="98">
        <f t="shared" si="14"/>
        <v>0.76909825366142248</v>
      </c>
      <c r="AL11" s="427">
        <f t="shared" si="15"/>
        <v>-396.29566666666642</v>
      </c>
    </row>
    <row r="12" spans="1:39" ht="15" customHeight="1" x14ac:dyDescent="0.3">
      <c r="A12"/>
      <c r="B12"/>
      <c r="C12" s="64"/>
      <c r="D12" s="65"/>
      <c r="E12" s="66"/>
      <c r="F12" s="105"/>
      <c r="G12" s="19" t="s">
        <v>435</v>
      </c>
      <c r="H12" s="73" t="e">
        <f>+REMC!#REF!</f>
        <v>#REF!</v>
      </c>
      <c r="I12" s="73">
        <f>REMC!CL9</f>
        <v>533</v>
      </c>
      <c r="J12" s="73">
        <f>REMC!CM9</f>
        <v>281</v>
      </c>
      <c r="K12" s="73">
        <f>REMC!CN9</f>
        <v>269</v>
      </c>
      <c r="L12" s="73">
        <f>REMC!CO9</f>
        <v>244</v>
      </c>
      <c r="M12" s="73">
        <f>REMC!CP9</f>
        <v>291</v>
      </c>
      <c r="N12" s="73">
        <f>REMC!CQ9</f>
        <v>177</v>
      </c>
      <c r="O12" s="73">
        <f>REMC!CR9</f>
        <v>260</v>
      </c>
      <c r="P12" s="73">
        <f>REMC!CS9</f>
        <v>330</v>
      </c>
      <c r="Q12" s="73">
        <f>REMC!CT9</f>
        <v>246</v>
      </c>
      <c r="R12" s="73">
        <f>REMC!CU9</f>
        <v>434</v>
      </c>
      <c r="S12" s="73">
        <f>REMC!CV9</f>
        <v>0</v>
      </c>
      <c r="T12" s="73">
        <f>REMC!CW9</f>
        <v>0</v>
      </c>
      <c r="U12" s="502">
        <f t="shared" si="1"/>
        <v>3065</v>
      </c>
      <c r="V12" s="499">
        <f>Poblacion2024!W9</f>
        <v>4281.1831999999995</v>
      </c>
      <c r="W12" s="504">
        <f t="shared" si="2"/>
        <v>0.71592357925724837</v>
      </c>
      <c r="X12" s="654">
        <f t="shared" si="16"/>
        <v>0.46839999999999998</v>
      </c>
      <c r="Y12" s="654">
        <f t="shared" si="3"/>
        <v>0.32787999999999995</v>
      </c>
      <c r="Z12" s="752">
        <f t="shared" si="0"/>
        <v>1</v>
      </c>
      <c r="AA12" s="77">
        <f t="shared" si="4"/>
        <v>5.4900000000000004E-2</v>
      </c>
      <c r="AB12" s="734">
        <f t="shared" si="5"/>
        <v>0.46839999999999998</v>
      </c>
      <c r="AC12" s="144">
        <f t="shared" si="6"/>
        <v>0.71592357925724837</v>
      </c>
      <c r="AD12" s="145">
        <f t="shared" si="7"/>
        <v>1.5284448745884893</v>
      </c>
      <c r="AE12" s="96">
        <f t="shared" si="8"/>
        <v>4281.1831999999995</v>
      </c>
      <c r="AF12" s="97">
        <f t="shared" si="9"/>
        <v>2005.3062108799998</v>
      </c>
      <c r="AG12" s="96">
        <f t="shared" si="10"/>
        <v>3065</v>
      </c>
      <c r="AH12" s="97">
        <f t="shared" si="11"/>
        <v>167.10885090666665</v>
      </c>
      <c r="AI12" s="97">
        <f t="shared" si="12"/>
        <v>1671.0885090666666</v>
      </c>
      <c r="AJ12" s="97">
        <f t="shared" si="13"/>
        <v>3065</v>
      </c>
      <c r="AK12" s="98">
        <f t="shared" si="14"/>
        <v>1.8341338495061872</v>
      </c>
      <c r="AL12" s="427">
        <f t="shared" si="15"/>
        <v>1393.9114909333334</v>
      </c>
    </row>
    <row r="13" spans="1:39" ht="15" customHeight="1" x14ac:dyDescent="0.3">
      <c r="A13"/>
      <c r="B13"/>
      <c r="C13" s="64"/>
      <c r="D13" s="65"/>
      <c r="E13" s="66"/>
      <c r="F13" s="105"/>
      <c r="G13" s="19" t="s">
        <v>436</v>
      </c>
      <c r="H13" s="73" t="e">
        <f>+REMC!#REF!</f>
        <v>#REF!</v>
      </c>
      <c r="I13" s="73">
        <f>REMC!CL10</f>
        <v>97</v>
      </c>
      <c r="J13" s="73">
        <f>REMC!CM10</f>
        <v>105</v>
      </c>
      <c r="K13" s="73">
        <f>REMC!CN10</f>
        <v>59</v>
      </c>
      <c r="L13" s="73">
        <f>REMC!CO10</f>
        <v>95</v>
      </c>
      <c r="M13" s="73">
        <f>REMC!CP10</f>
        <v>129</v>
      </c>
      <c r="N13" s="73">
        <f>REMC!CQ10</f>
        <v>109</v>
      </c>
      <c r="O13" s="73">
        <f>REMC!CR10</f>
        <v>117</v>
      </c>
      <c r="P13" s="73">
        <f>REMC!CS10</f>
        <v>109</v>
      </c>
      <c r="Q13" s="73">
        <f>REMC!CT10</f>
        <v>127</v>
      </c>
      <c r="R13" s="73">
        <f>REMC!CU10</f>
        <v>136</v>
      </c>
      <c r="S13" s="73">
        <f>REMC!CV10</f>
        <v>0</v>
      </c>
      <c r="T13" s="73">
        <f>REMC!CW10</f>
        <v>0</v>
      </c>
      <c r="U13" s="502">
        <f t="shared" si="1"/>
        <v>1083</v>
      </c>
      <c r="V13" s="499">
        <f>Poblacion2024!W10</f>
        <v>4335</v>
      </c>
      <c r="W13" s="504">
        <f t="shared" si="2"/>
        <v>0.24982698961937716</v>
      </c>
      <c r="X13" s="654">
        <f t="shared" si="16"/>
        <v>0.46839999999999998</v>
      </c>
      <c r="Y13" s="654">
        <f t="shared" si="3"/>
        <v>0.32787999999999995</v>
      </c>
      <c r="Z13" s="752">
        <f t="shared" si="0"/>
        <v>0.76194641216108694</v>
      </c>
      <c r="AA13" s="77">
        <f t="shared" si="4"/>
        <v>4.1830858027643671E-2</v>
      </c>
      <c r="AB13" s="734">
        <f t="shared" si="5"/>
        <v>0.46839999999999998</v>
      </c>
      <c r="AC13" s="144">
        <f t="shared" si="6"/>
        <v>0.24982698961937716</v>
      </c>
      <c r="AD13" s="145">
        <f t="shared" si="7"/>
        <v>0.5333624885127608</v>
      </c>
      <c r="AE13" s="96">
        <f t="shared" si="8"/>
        <v>4335</v>
      </c>
      <c r="AF13" s="97">
        <f t="shared" si="9"/>
        <v>2030.5139999999999</v>
      </c>
      <c r="AG13" s="96">
        <f t="shared" si="10"/>
        <v>1083</v>
      </c>
      <c r="AH13" s="97">
        <f t="shared" si="11"/>
        <v>169.20949999999999</v>
      </c>
      <c r="AI13" s="97">
        <f t="shared" si="12"/>
        <v>1692.0949999999998</v>
      </c>
      <c r="AJ13" s="97">
        <f t="shared" si="13"/>
        <v>1083</v>
      </c>
      <c r="AK13" s="98">
        <f t="shared" si="14"/>
        <v>0.64003498621531307</v>
      </c>
      <c r="AL13" s="427">
        <f t="shared" si="15"/>
        <v>-609.0949999999998</v>
      </c>
    </row>
    <row r="14" spans="1:39" ht="15" customHeight="1" x14ac:dyDescent="0.3">
      <c r="A14"/>
      <c r="B14"/>
      <c r="C14" s="64"/>
      <c r="D14" s="65"/>
      <c r="E14" s="66"/>
      <c r="F14" s="105"/>
      <c r="G14" s="19" t="s">
        <v>437</v>
      </c>
      <c r="H14" s="73" t="e">
        <f>+REMC!#REF!</f>
        <v>#REF!</v>
      </c>
      <c r="I14" s="73">
        <f>REMC!CL11</f>
        <v>10</v>
      </c>
      <c r="J14" s="73">
        <f>REMC!CM11</f>
        <v>10</v>
      </c>
      <c r="K14" s="73">
        <f>REMC!CN11</f>
        <v>8</v>
      </c>
      <c r="L14" s="73">
        <f>REMC!CO11</f>
        <v>6</v>
      </c>
      <c r="M14" s="73">
        <f>REMC!CP11</f>
        <v>3</v>
      </c>
      <c r="N14" s="73">
        <f>REMC!CQ11</f>
        <v>2</v>
      </c>
      <c r="O14" s="73">
        <f>REMC!CR11</f>
        <v>0</v>
      </c>
      <c r="P14" s="73">
        <f>REMC!CS11</f>
        <v>3</v>
      </c>
      <c r="Q14" s="73">
        <f>REMC!CT11</f>
        <v>0</v>
      </c>
      <c r="R14" s="73">
        <f>REMC!CU11</f>
        <v>266</v>
      </c>
      <c r="S14" s="73">
        <f>REMC!CV11</f>
        <v>0</v>
      </c>
      <c r="T14" s="73">
        <f>REMC!CW11</f>
        <v>0</v>
      </c>
      <c r="U14" s="502">
        <f t="shared" si="1"/>
        <v>308</v>
      </c>
      <c r="V14" s="499">
        <f>Poblacion2024!W11</f>
        <v>67.87299999999999</v>
      </c>
      <c r="W14" s="504">
        <f t="shared" si="2"/>
        <v>4.5378869358949814</v>
      </c>
      <c r="X14" s="654">
        <f t="shared" si="16"/>
        <v>0.46839999999999998</v>
      </c>
      <c r="Y14" s="654">
        <f t="shared" si="3"/>
        <v>0.32787999999999995</v>
      </c>
      <c r="Z14" s="752">
        <f t="shared" si="0"/>
        <v>1</v>
      </c>
      <c r="AA14" s="77">
        <f t="shared" si="4"/>
        <v>5.4900000000000004E-2</v>
      </c>
      <c r="AB14" s="734">
        <f t="shared" si="5"/>
        <v>0.46839999999999998</v>
      </c>
      <c r="AC14" s="144">
        <f t="shared" si="6"/>
        <v>4.5378869358949814</v>
      </c>
      <c r="AD14" s="145">
        <f t="shared" si="7"/>
        <v>9.6880592141225055</v>
      </c>
      <c r="AE14" s="96">
        <f t="shared" si="8"/>
        <v>67.87299999999999</v>
      </c>
      <c r="AF14" s="97">
        <f t="shared" si="9"/>
        <v>31.791713199999993</v>
      </c>
      <c r="AG14" s="96">
        <f t="shared" si="10"/>
        <v>308</v>
      </c>
      <c r="AH14" s="97">
        <f t="shared" si="11"/>
        <v>2.6493094333333329</v>
      </c>
      <c r="AI14" s="97">
        <f t="shared" si="12"/>
        <v>26.493094333333328</v>
      </c>
      <c r="AJ14" s="97">
        <f t="shared" si="13"/>
        <v>308</v>
      </c>
      <c r="AK14" s="98">
        <f t="shared" si="14"/>
        <v>11.625671056947006</v>
      </c>
      <c r="AL14" s="427">
        <f t="shared" si="15"/>
        <v>281.50690566666668</v>
      </c>
    </row>
    <row r="15" spans="1:39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113" t="e">
        <f>+REMC!#REF!</f>
        <v>#REF!</v>
      </c>
      <c r="I15" s="113">
        <f>REMC!CL12</f>
        <v>42</v>
      </c>
      <c r="J15" s="113">
        <f>REMC!CM12</f>
        <v>97</v>
      </c>
      <c r="K15" s="113">
        <f>REMC!CN12</f>
        <v>32</v>
      </c>
      <c r="L15" s="113">
        <f>REMC!CO12</f>
        <v>25</v>
      </c>
      <c r="M15" s="113">
        <f>REMC!CP12</f>
        <v>45</v>
      </c>
      <c r="N15" s="113">
        <f>REMC!CQ12</f>
        <v>27</v>
      </c>
      <c r="O15" s="113">
        <f>REMC!CR12</f>
        <v>41</v>
      </c>
      <c r="P15" s="113">
        <f>REMC!CS12</f>
        <v>42</v>
      </c>
      <c r="Q15" s="113">
        <f>REMC!CT12</f>
        <v>23</v>
      </c>
      <c r="R15" s="113">
        <f>REMC!CU12</f>
        <v>44</v>
      </c>
      <c r="S15" s="113">
        <f>REMC!CV12</f>
        <v>0</v>
      </c>
      <c r="T15" s="113">
        <f>REMC!CW12</f>
        <v>0</v>
      </c>
      <c r="U15" s="502">
        <f t="shared" si="1"/>
        <v>418</v>
      </c>
      <c r="V15" s="655">
        <f>Poblacion2024!W12</f>
        <v>1129.8168000000001</v>
      </c>
      <c r="W15" s="504">
        <f t="shared" si="2"/>
        <v>0.36997148564262805</v>
      </c>
      <c r="X15" s="656">
        <f t="shared" si="16"/>
        <v>0.46839999999999998</v>
      </c>
      <c r="Y15" s="656">
        <f t="shared" si="3"/>
        <v>0.32787999999999995</v>
      </c>
      <c r="Z15" s="753">
        <f t="shared" si="0"/>
        <v>1</v>
      </c>
      <c r="AA15" s="77">
        <f t="shared" si="4"/>
        <v>5.4900000000000004E-2</v>
      </c>
      <c r="AB15" s="755">
        <f t="shared" si="5"/>
        <v>0.46839999999999998</v>
      </c>
      <c r="AC15" s="539">
        <f t="shared" si="6"/>
        <v>0.36997148564262805</v>
      </c>
      <c r="AD15" s="540">
        <f t="shared" si="7"/>
        <v>0.78986226652994895</v>
      </c>
      <c r="AE15" s="96">
        <f t="shared" si="8"/>
        <v>1129.8168000000001</v>
      </c>
      <c r="AF15" s="97">
        <f t="shared" si="9"/>
        <v>529.20618911999998</v>
      </c>
      <c r="AG15" s="96">
        <f t="shared" si="10"/>
        <v>418</v>
      </c>
      <c r="AH15" s="97">
        <f t="shared" si="11"/>
        <v>44.10051576</v>
      </c>
      <c r="AI15" s="97">
        <f t="shared" si="12"/>
        <v>441.00515760000002</v>
      </c>
      <c r="AJ15" s="97">
        <f t="shared" si="13"/>
        <v>418</v>
      </c>
      <c r="AK15" s="541">
        <f t="shared" si="14"/>
        <v>0.9478347198359387</v>
      </c>
      <c r="AL15" s="579">
        <f t="shared" si="15"/>
        <v>-23.005157600000018</v>
      </c>
    </row>
    <row r="16" spans="1:39" ht="15" customHeight="1" thickBot="1" x14ac:dyDescent="0.35">
      <c r="A16"/>
      <c r="B16"/>
      <c r="C16" s="64"/>
      <c r="D16" s="65"/>
      <c r="E16" s="66"/>
      <c r="F16" s="105"/>
      <c r="G16" s="538" t="s">
        <v>15</v>
      </c>
      <c r="H16" s="84" t="e">
        <f>+REMC!#REF!</f>
        <v>#REF!</v>
      </c>
      <c r="I16" s="84">
        <f>SUM(I9:I15)</f>
        <v>1102</v>
      </c>
      <c r="J16" s="84">
        <f t="shared" ref="J16:T16" si="17">SUM(J9:J15)</f>
        <v>820</v>
      </c>
      <c r="K16" s="84">
        <f t="shared" si="17"/>
        <v>774</v>
      </c>
      <c r="L16" s="84">
        <f t="shared" si="17"/>
        <v>772</v>
      </c>
      <c r="M16" s="84">
        <f t="shared" si="17"/>
        <v>881</v>
      </c>
      <c r="N16" s="84">
        <f t="shared" si="17"/>
        <v>730</v>
      </c>
      <c r="O16" s="84">
        <f t="shared" si="17"/>
        <v>897</v>
      </c>
      <c r="P16" s="84">
        <f t="shared" si="17"/>
        <v>985</v>
      </c>
      <c r="Q16" s="84">
        <f t="shared" si="17"/>
        <v>953</v>
      </c>
      <c r="R16" s="84">
        <f t="shared" si="17"/>
        <v>1532</v>
      </c>
      <c r="S16" s="84">
        <f t="shared" si="17"/>
        <v>0</v>
      </c>
      <c r="T16" s="84">
        <f t="shared" si="17"/>
        <v>0</v>
      </c>
      <c r="U16" s="557">
        <f>SUM(U9:U15)</f>
        <v>9446</v>
      </c>
      <c r="V16" s="657">
        <f>SUM(V9:V15)</f>
        <v>23704</v>
      </c>
      <c r="W16" s="32">
        <f t="shared" si="2"/>
        <v>0.39849814377320286</v>
      </c>
      <c r="X16" s="658">
        <f t="shared" si="16"/>
        <v>0.46839999999999998</v>
      </c>
      <c r="Y16" s="658">
        <f t="shared" si="3"/>
        <v>0.32787999999999995</v>
      </c>
      <c r="Z16" s="754">
        <f t="shared" si="0"/>
        <v>1</v>
      </c>
      <c r="AA16" s="508">
        <f t="shared" si="4"/>
        <v>5.4900000000000004E-2</v>
      </c>
      <c r="AB16" s="756">
        <f t="shared" si="5"/>
        <v>0.46839999999999998</v>
      </c>
      <c r="AC16" s="542">
        <f t="shared" si="6"/>
        <v>0.39849814377320286</v>
      </c>
      <c r="AD16" s="543">
        <f t="shared" si="7"/>
        <v>0.85076461095901557</v>
      </c>
      <c r="AE16" s="544">
        <f t="shared" si="8"/>
        <v>23704</v>
      </c>
      <c r="AF16" s="545">
        <f t="shared" si="9"/>
        <v>11102.953599999999</v>
      </c>
      <c r="AG16" s="544">
        <f t="shared" si="10"/>
        <v>9446</v>
      </c>
      <c r="AH16" s="545">
        <f t="shared" si="11"/>
        <v>925.2461333333332</v>
      </c>
      <c r="AI16" s="545">
        <f t="shared" si="12"/>
        <v>9252.4613333333327</v>
      </c>
      <c r="AJ16" s="545">
        <f t="shared" si="13"/>
        <v>9446</v>
      </c>
      <c r="AK16" s="546">
        <f t="shared" si="14"/>
        <v>1.0209175331508187</v>
      </c>
      <c r="AL16" s="585">
        <f t="shared" si="15"/>
        <v>193.53866666666727</v>
      </c>
    </row>
    <row r="17" spans="3:29" x14ac:dyDescent="0.25">
      <c r="C17" s="64"/>
      <c r="D17" s="65"/>
      <c r="X17" s="57"/>
      <c r="Y17" s="152"/>
      <c r="AB17" s="121"/>
      <c r="AC17" s="121"/>
    </row>
  </sheetData>
  <autoFilter ref="G4:G16" xr:uid="{00000000-0001-0000-0B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CE83-9E72-4F2B-A28E-D25DB2309AE0}">
  <sheetPr codeName="Hoja15">
    <tabColor rgb="FFFF0000"/>
  </sheetPr>
  <dimension ref="A1:BW18"/>
  <sheetViews>
    <sheetView zoomScale="60" zoomScaleNormal="60" workbookViewId="0">
      <selection activeCell="Y29" sqref="Y2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5" style="160" customWidth="1"/>
    <col min="8" max="8" width="23" style="160" customWidth="1"/>
    <col min="9" max="10" width="7" style="160" hidden="1" customWidth="1"/>
    <col min="11" max="11" width="8" style="160" bestFit="1" customWidth="1"/>
    <col min="12" max="12" width="6.5703125" style="160" bestFit="1" customWidth="1"/>
    <col min="13" max="13" width="7.28515625" style="160" bestFit="1" customWidth="1"/>
    <col min="14" max="14" width="8" style="160" bestFit="1" customWidth="1"/>
    <col min="15" max="15" width="5.85546875" style="160" bestFit="1" customWidth="1"/>
    <col min="16" max="16" width="7.28515625" style="160" bestFit="1" customWidth="1"/>
    <col min="17" max="17" width="8.28515625" style="160" bestFit="1" customWidth="1"/>
    <col min="18" max="18" width="6.85546875" style="160" bestFit="1" customWidth="1"/>
    <col min="19" max="19" width="7" style="160" bestFit="1" customWidth="1"/>
    <col min="20" max="20" width="6.28515625" style="160" bestFit="1" customWidth="1"/>
    <col min="21" max="21" width="8.7109375" style="160" bestFit="1" customWidth="1"/>
    <col min="22" max="22" width="29" style="160" customWidth="1"/>
    <col min="23" max="23" width="14.85546875" style="161" customWidth="1"/>
    <col min="24" max="24" width="12.5703125" style="160" customWidth="1"/>
    <col min="25" max="25" width="14.140625" style="162" customWidth="1"/>
    <col min="26" max="26" width="16.42578125" style="160" customWidth="1"/>
    <col min="27" max="27" width="18.7109375" style="162" customWidth="1"/>
    <col min="28" max="28" width="17.5703125" style="57" bestFit="1" customWidth="1"/>
    <col min="29" max="29" width="13.85546875" style="57" customWidth="1"/>
    <col min="30" max="30" width="18.28515625" style="57" bestFit="1" customWidth="1"/>
    <col min="31" max="34" width="10.7109375" style="57" customWidth="1"/>
    <col min="35" max="35" width="10.7109375" style="18" customWidth="1"/>
    <col min="36" max="36" width="10.7109375" style="57" customWidth="1"/>
    <col min="37" max="37" width="11.5703125" style="57" bestFit="1" customWidth="1"/>
    <col min="38" max="38" width="10.7109375" style="18" customWidth="1"/>
    <col min="39" max="39" width="3.42578125" style="5" customWidth="1"/>
    <col min="40" max="40" width="15.140625" style="57" bestFit="1" customWidth="1"/>
    <col min="41" max="41" width="19.42578125" style="163" bestFit="1" customWidth="1"/>
    <col min="42" max="43" width="19.42578125" style="163" customWidth="1"/>
    <col min="44" max="44" width="18.140625" style="163" customWidth="1"/>
    <col min="45" max="45" width="14.7109375" style="163" customWidth="1"/>
    <col min="46" max="46" width="2.5703125" bestFit="1" customWidth="1"/>
    <col min="47" max="47" width="0" style="163" hidden="1" customWidth="1"/>
    <col min="48" max="48" width="7.7109375" style="163" hidden="1" customWidth="1"/>
    <col min="49" max="49" width="10.5703125" hidden="1" customWidth="1"/>
    <col min="50" max="50" width="13.42578125" hidden="1" customWidth="1"/>
    <col min="51" max="52" width="13" style="164" hidden="1" customWidth="1"/>
    <col min="53" max="53" width="14.28515625" style="104" hidden="1" customWidth="1"/>
    <col min="54" max="54" width="0" style="163" hidden="1" customWidth="1"/>
    <col min="55" max="56" width="0" style="161" hidden="1" customWidth="1"/>
    <col min="57" max="57" width="0" style="160" hidden="1" customWidth="1"/>
    <col min="58" max="58" width="0" style="161" hidden="1" customWidth="1"/>
    <col min="59" max="64" width="0" style="160" hidden="1" customWidth="1"/>
    <col min="65" max="70" width="15.42578125" style="160" hidden="1" customWidth="1"/>
    <col min="71" max="16384" width="11.42578125" style="160"/>
  </cols>
  <sheetData>
    <row r="1" spans="1:75" s="159" customFormat="1" ht="21" customHeight="1" x14ac:dyDescent="0.45">
      <c r="A1" s="2"/>
      <c r="B1" s="2"/>
      <c r="C1" s="2"/>
      <c r="D1" s="2"/>
      <c r="E1" s="3"/>
      <c r="F1" s="100"/>
      <c r="G1" s="967" t="s">
        <v>0</v>
      </c>
      <c r="H1" s="967"/>
      <c r="I1" s="967"/>
      <c r="J1" s="967"/>
      <c r="K1" s="967"/>
      <c r="L1" s="967"/>
      <c r="M1" s="967"/>
      <c r="N1" s="967"/>
      <c r="O1" s="967"/>
      <c r="P1" s="967"/>
      <c r="Q1" s="967"/>
      <c r="R1" s="967"/>
      <c r="S1" s="967"/>
      <c r="T1" s="967"/>
      <c r="U1" s="967"/>
      <c r="V1" s="967"/>
      <c r="W1" s="967"/>
      <c r="X1" s="967"/>
      <c r="Y1" s="967"/>
      <c r="Z1" s="967"/>
      <c r="AA1" s="967"/>
      <c r="AB1" s="56"/>
      <c r="AC1" s="56"/>
      <c r="AD1" s="56"/>
      <c r="AE1" s="56"/>
      <c r="AF1" s="56"/>
      <c r="AG1" s="56"/>
      <c r="AH1" s="56"/>
      <c r="AI1" s="134"/>
      <c r="AJ1" s="56"/>
      <c r="AK1" s="56"/>
      <c r="AL1" s="134"/>
      <c r="AM1" s="2"/>
      <c r="AN1" s="56"/>
      <c r="AO1" s="154"/>
      <c r="AP1" s="154"/>
      <c r="AQ1" s="154"/>
      <c r="AR1" s="154"/>
      <c r="AS1" s="154"/>
      <c r="AT1" s="155"/>
      <c r="AU1" s="154"/>
      <c r="AV1" s="154"/>
      <c r="AW1" s="155"/>
      <c r="AX1" s="155"/>
      <c r="AY1" s="156"/>
      <c r="AZ1" s="156"/>
      <c r="BA1" s="157"/>
      <c r="BB1" s="154"/>
      <c r="BC1" s="158"/>
      <c r="BD1" s="158"/>
      <c r="BF1" s="158"/>
    </row>
    <row r="2" spans="1:75" s="159" customFormat="1" ht="28.5" x14ac:dyDescent="0.45">
      <c r="A2" s="2"/>
      <c r="B2" s="2"/>
      <c r="C2" s="2"/>
      <c r="D2" s="2"/>
      <c r="E2" s="3"/>
      <c r="F2" s="100"/>
      <c r="G2" s="968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5" t="str">
        <f>+NOMBRE!B7</f>
        <v>ENERO - OCTUBRE 2024</v>
      </c>
      <c r="Y2" s="905"/>
      <c r="Z2" s="905"/>
      <c r="AA2" s="905"/>
      <c r="AB2" s="56"/>
      <c r="AC2" s="56"/>
      <c r="AD2" s="56"/>
      <c r="AE2" s="56"/>
      <c r="AF2" s="56"/>
      <c r="AG2" s="56"/>
      <c r="AH2" s="56"/>
      <c r="AI2" s="134"/>
      <c r="AJ2" s="56"/>
      <c r="AK2" s="56"/>
      <c r="AL2" s="134"/>
      <c r="AM2" s="2"/>
      <c r="AN2" s="56"/>
      <c r="AO2" s="154"/>
      <c r="AP2" s="154"/>
      <c r="AQ2" s="154"/>
      <c r="AR2" s="154"/>
      <c r="AS2" s="154"/>
      <c r="AT2" s="155"/>
      <c r="AU2" s="154"/>
      <c r="AV2" s="154"/>
      <c r="AW2" s="155"/>
      <c r="AX2" s="155"/>
      <c r="AY2" s="156"/>
      <c r="AZ2" s="156"/>
      <c r="BA2" s="157"/>
      <c r="BB2" s="154"/>
      <c r="BC2" s="158"/>
      <c r="BD2" s="158"/>
      <c r="BF2" s="158"/>
    </row>
    <row r="3" spans="1:75" ht="3" customHeight="1" thickBot="1" x14ac:dyDescent="0.3"/>
    <row r="4" spans="1:75" ht="15" customHeight="1" x14ac:dyDescent="0.25">
      <c r="G4" s="165"/>
      <c r="H4" s="969" t="s">
        <v>473</v>
      </c>
      <c r="I4" s="970"/>
      <c r="J4" s="970"/>
      <c r="K4" s="970"/>
      <c r="L4" s="970"/>
      <c r="M4" s="970"/>
      <c r="N4" s="970"/>
      <c r="O4" s="970"/>
      <c r="P4" s="970"/>
      <c r="Q4" s="970"/>
      <c r="R4" s="970"/>
      <c r="S4" s="970"/>
      <c r="T4" s="970"/>
      <c r="U4" s="970"/>
      <c r="V4" s="970"/>
      <c r="W4" s="970"/>
      <c r="X4" s="970"/>
      <c r="Y4" s="970"/>
      <c r="Z4" s="970"/>
      <c r="AA4" s="971"/>
      <c r="AB4" s="5"/>
      <c r="AC4" s="5"/>
      <c r="AD4" s="5"/>
      <c r="AE4" s="6"/>
      <c r="AF4" s="5"/>
      <c r="AG4" s="5"/>
      <c r="AH4" s="87" t="s">
        <v>45</v>
      </c>
      <c r="AI4" s="88">
        <v>12</v>
      </c>
      <c r="AJ4" s="6"/>
      <c r="AK4" s="6"/>
      <c r="AL4" s="5"/>
    </row>
    <row r="5" spans="1:75" ht="37.5" customHeight="1" thickBot="1" x14ac:dyDescent="0.35">
      <c r="G5" s="165"/>
      <c r="H5" s="972"/>
      <c r="I5" s="973"/>
      <c r="J5" s="973"/>
      <c r="K5" s="973"/>
      <c r="L5" s="973"/>
      <c r="M5" s="973"/>
      <c r="N5" s="973"/>
      <c r="O5" s="973"/>
      <c r="P5" s="973"/>
      <c r="Q5" s="973"/>
      <c r="R5" s="973"/>
      <c r="S5" s="973"/>
      <c r="T5" s="973"/>
      <c r="U5" s="973"/>
      <c r="V5" s="973"/>
      <c r="W5" s="973"/>
      <c r="X5" s="973"/>
      <c r="Y5" s="973"/>
      <c r="Z5" s="973"/>
      <c r="AA5" s="974"/>
      <c r="AB5" s="5"/>
      <c r="AC5" s="5"/>
      <c r="AD5" s="5"/>
      <c r="AE5" s="6"/>
      <c r="AF5" s="5"/>
      <c r="AG5" s="5"/>
      <c r="AH5" s="87" t="s">
        <v>46</v>
      </c>
      <c r="AI5" s="88">
        <f>meta3!AB2</f>
        <v>10</v>
      </c>
      <c r="AJ5" s="6"/>
      <c r="AK5" s="5"/>
      <c r="AL5" s="5"/>
      <c r="AR5" s="163" t="s">
        <v>107</v>
      </c>
      <c r="AS5" s="163" t="s">
        <v>108</v>
      </c>
      <c r="AT5" s="166"/>
      <c r="AW5" s="166"/>
      <c r="AX5" s="166"/>
      <c r="AY5" s="167"/>
      <c r="AZ5" s="167"/>
      <c r="BA5" s="168"/>
    </row>
    <row r="6" spans="1:75" ht="48" customHeight="1" thickBot="1" x14ac:dyDescent="0.3">
      <c r="G6" s="165"/>
      <c r="H6" s="984" t="s">
        <v>4</v>
      </c>
      <c r="I6" s="985"/>
      <c r="J6" s="985"/>
      <c r="K6" s="985"/>
      <c r="L6" s="985"/>
      <c r="M6" s="985"/>
      <c r="N6" s="985"/>
      <c r="O6" s="985"/>
      <c r="P6" s="985"/>
      <c r="Q6" s="985"/>
      <c r="R6" s="985"/>
      <c r="S6" s="985"/>
      <c r="T6" s="985"/>
      <c r="U6" s="986"/>
      <c r="V6" s="169" t="s">
        <v>5</v>
      </c>
      <c r="W6" s="975" t="s">
        <v>6</v>
      </c>
      <c r="X6" s="977">
        <f>+NOMBRE!$B$9</f>
        <v>2024</v>
      </c>
      <c r="Y6" s="978"/>
      <c r="Z6" s="979" t="s">
        <v>7</v>
      </c>
      <c r="AA6" s="980"/>
      <c r="AB6" s="89" t="s">
        <v>47</v>
      </c>
      <c r="AC6" s="89" t="s">
        <v>48</v>
      </c>
      <c r="AD6" s="89" t="s">
        <v>49</v>
      </c>
      <c r="AE6" s="89" t="s">
        <v>50</v>
      </c>
      <c r="AF6" s="89" t="s">
        <v>51</v>
      </c>
      <c r="AG6" s="89" t="s">
        <v>52</v>
      </c>
      <c r="AH6" s="89" t="s">
        <v>45</v>
      </c>
      <c r="AI6" s="89" t="s">
        <v>53</v>
      </c>
      <c r="AJ6" s="89" t="s">
        <v>54</v>
      </c>
      <c r="AK6" s="89" t="s">
        <v>55</v>
      </c>
      <c r="AL6" s="89" t="s">
        <v>56</v>
      </c>
      <c r="AO6" s="964"/>
      <c r="AP6" s="964"/>
      <c r="AQ6" s="964"/>
      <c r="AR6" s="964"/>
      <c r="AS6" s="965"/>
      <c r="AT6" s="170"/>
      <c r="AW6" s="966" t="s">
        <v>109</v>
      </c>
      <c r="AX6" s="966"/>
      <c r="AY6" s="966"/>
      <c r="AZ6" s="171"/>
      <c r="BA6" s="161"/>
    </row>
    <row r="7" spans="1:75" ht="108.75" customHeight="1" thickBot="1" x14ac:dyDescent="0.3">
      <c r="G7" s="603" t="s">
        <v>431</v>
      </c>
      <c r="H7" s="981" t="s">
        <v>536</v>
      </c>
      <c r="I7" s="982"/>
      <c r="J7" s="982"/>
      <c r="K7" s="982"/>
      <c r="L7" s="982"/>
      <c r="M7" s="982"/>
      <c r="N7" s="982"/>
      <c r="O7" s="982"/>
      <c r="P7" s="982"/>
      <c r="Q7" s="982"/>
      <c r="R7" s="982"/>
      <c r="S7" s="982"/>
      <c r="T7" s="982"/>
      <c r="U7" s="983"/>
      <c r="V7" s="172" t="s">
        <v>111</v>
      </c>
      <c r="W7" s="976"/>
      <c r="X7" s="173" t="s">
        <v>11</v>
      </c>
      <c r="Y7" s="670" t="s">
        <v>43</v>
      </c>
      <c r="Z7" s="174" t="s">
        <v>13</v>
      </c>
      <c r="AA7" s="14" t="s">
        <v>112</v>
      </c>
      <c r="AB7" s="90" t="s">
        <v>57</v>
      </c>
      <c r="AC7" s="90" t="s">
        <v>58</v>
      </c>
      <c r="AD7" s="90" t="s">
        <v>59</v>
      </c>
      <c r="AE7" s="91" t="s">
        <v>60</v>
      </c>
      <c r="AF7" s="91" t="s">
        <v>61</v>
      </c>
      <c r="AG7" s="91" t="s">
        <v>62</v>
      </c>
      <c r="AH7" s="91" t="s">
        <v>63</v>
      </c>
      <c r="AI7" s="91" t="s">
        <v>64</v>
      </c>
      <c r="AJ7" s="91" t="s">
        <v>65</v>
      </c>
      <c r="AK7" s="92" t="s">
        <v>66</v>
      </c>
      <c r="AL7" s="92" t="s">
        <v>67</v>
      </c>
      <c r="AO7" s="90" t="s">
        <v>427</v>
      </c>
      <c r="AP7" s="175"/>
      <c r="AQ7" s="840"/>
      <c r="AR7" s="90" t="s">
        <v>113</v>
      </c>
      <c r="AS7" s="90" t="s">
        <v>114</v>
      </c>
      <c r="AT7" s="170"/>
      <c r="AW7" s="176" t="s">
        <v>115</v>
      </c>
      <c r="AX7" s="176" t="s">
        <v>116</v>
      </c>
      <c r="AY7" s="177" t="s">
        <v>117</v>
      </c>
      <c r="AZ7" s="177" t="s">
        <v>118</v>
      </c>
      <c r="BA7" s="177" t="s">
        <v>119</v>
      </c>
      <c r="BM7" s="178" t="s">
        <v>120</v>
      </c>
      <c r="BN7" s="179" t="s">
        <v>121</v>
      </c>
      <c r="BO7" s="179" t="s">
        <v>122</v>
      </c>
      <c r="BP7" s="179" t="s">
        <v>123</v>
      </c>
      <c r="BS7" s="160" t="s">
        <v>428</v>
      </c>
    </row>
    <row r="8" spans="1:75" ht="24" customHeight="1" thickBot="1" x14ac:dyDescent="0.3">
      <c r="G8" s="450"/>
      <c r="H8" s="451"/>
      <c r="I8" s="509" t="s">
        <v>189</v>
      </c>
      <c r="J8" s="509" t="s">
        <v>190</v>
      </c>
      <c r="K8" s="509" t="s">
        <v>191</v>
      </c>
      <c r="L8" s="509" t="s">
        <v>192</v>
      </c>
      <c r="M8" s="509" t="s">
        <v>193</v>
      </c>
      <c r="N8" s="509" t="s">
        <v>194</v>
      </c>
      <c r="O8" s="509" t="s">
        <v>195</v>
      </c>
      <c r="P8" s="509" t="s">
        <v>196</v>
      </c>
      <c r="Q8" s="509" t="s">
        <v>423</v>
      </c>
      <c r="R8" s="509" t="s">
        <v>198</v>
      </c>
      <c r="S8" s="509" t="s">
        <v>199</v>
      </c>
      <c r="T8" s="509" t="s">
        <v>200</v>
      </c>
      <c r="U8" s="423" t="s">
        <v>201</v>
      </c>
      <c r="V8" s="452"/>
      <c r="W8" s="510"/>
      <c r="X8" s="671">
        <f>indicadores!E29</f>
        <v>0.23880000000000001</v>
      </c>
      <c r="Y8" s="670">
        <f>indicadores!$D$54</f>
        <v>0.7</v>
      </c>
      <c r="Z8" s="511"/>
      <c r="AA8" s="512">
        <v>5.27</v>
      </c>
      <c r="AB8" s="93" t="s">
        <v>68</v>
      </c>
      <c r="AC8" s="93" t="s">
        <v>69</v>
      </c>
      <c r="AD8" s="93" t="s">
        <v>70</v>
      </c>
      <c r="AE8" s="519" t="s">
        <v>71</v>
      </c>
      <c r="AF8" s="519" t="s">
        <v>72</v>
      </c>
      <c r="AG8" s="519" t="s">
        <v>73</v>
      </c>
      <c r="AH8" s="519" t="s">
        <v>74</v>
      </c>
      <c r="AI8" s="519" t="s">
        <v>75</v>
      </c>
      <c r="AJ8" s="519" t="s">
        <v>76</v>
      </c>
      <c r="AK8" s="93" t="s">
        <v>77</v>
      </c>
      <c r="AL8" s="93" t="s">
        <v>78</v>
      </c>
      <c r="AO8" s="509" t="s">
        <v>519</v>
      </c>
      <c r="AP8" s="509" t="s">
        <v>520</v>
      </c>
      <c r="AQ8" s="509" t="s">
        <v>537</v>
      </c>
      <c r="AR8" s="456"/>
      <c r="AS8" s="456"/>
      <c r="AT8" s="170"/>
      <c r="AW8" s="457"/>
      <c r="AX8" s="457"/>
      <c r="AY8" s="177"/>
      <c r="AZ8" s="177"/>
      <c r="BA8" s="177"/>
      <c r="BM8" s="458"/>
      <c r="BN8" s="459"/>
      <c r="BO8" s="459"/>
      <c r="BP8" s="459"/>
      <c r="BS8" s="509" t="s">
        <v>519</v>
      </c>
      <c r="BT8" s="509" t="s">
        <v>520</v>
      </c>
      <c r="BU8" s="509" t="s">
        <v>539</v>
      </c>
    </row>
    <row r="9" spans="1:75" s="191" customFormat="1" ht="15" customHeight="1" thickBot="1" x14ac:dyDescent="0.35">
      <c r="A9"/>
      <c r="B9"/>
      <c r="C9" s="64"/>
      <c r="D9" s="65"/>
      <c r="E9" s="66"/>
      <c r="F9" s="105"/>
      <c r="G9" s="19" t="s">
        <v>432</v>
      </c>
      <c r="H9" s="180"/>
      <c r="I9" s="180"/>
      <c r="J9" s="180"/>
      <c r="K9" s="180">
        <f t="shared" ref="K9:K15" si="0">+AO9+AR9-AS9</f>
        <v>2799</v>
      </c>
      <c r="L9" s="180"/>
      <c r="M9" s="180"/>
      <c r="N9" s="180">
        <f>BT9</f>
        <v>2841</v>
      </c>
      <c r="O9" s="180"/>
      <c r="P9" s="180"/>
      <c r="Q9" s="180">
        <f>BU9</f>
        <v>2836</v>
      </c>
      <c r="R9" s="180"/>
      <c r="S9" s="180"/>
      <c r="T9" s="841"/>
      <c r="U9" s="841">
        <f>Q9</f>
        <v>2836</v>
      </c>
      <c r="V9" s="515">
        <f>Poblacion2024!Z6</f>
        <v>8302.9993200000008</v>
      </c>
      <c r="W9" s="35">
        <f>IF(V9=0,0,+N9/V9)</f>
        <v>0.34216551037848331</v>
      </c>
      <c r="X9" s="516">
        <f>$X$8</f>
        <v>0.23880000000000001</v>
      </c>
      <c r="Y9" s="516">
        <f>+X9*$Y$8</f>
        <v>0.16716</v>
      </c>
      <c r="Z9" s="109">
        <f t="shared" ref="Z9:Z15" si="1">IF(+W9/Y9&gt;1,1,+W9/Y9)</f>
        <v>1</v>
      </c>
      <c r="AA9" s="71">
        <f>(+Z9*$AA$8/100)</f>
        <v>5.2699999999999997E-2</v>
      </c>
      <c r="AB9" s="144">
        <f>X9</f>
        <v>0.23880000000000001</v>
      </c>
      <c r="AC9" s="144">
        <f>(AG9/AE9)</f>
        <v>0.34216551037848331</v>
      </c>
      <c r="AD9" s="145">
        <f>AC9/AB9</f>
        <v>1.4328538960573003</v>
      </c>
      <c r="AE9" s="496">
        <f>V9</f>
        <v>8302.9993200000008</v>
      </c>
      <c r="AF9" s="497">
        <f>AE9*AB9</f>
        <v>1982.7562376160004</v>
      </c>
      <c r="AG9" s="496">
        <f>N9</f>
        <v>2841</v>
      </c>
      <c r="AH9" s="497">
        <f>AF9/$AI$4</f>
        <v>165.22968646800004</v>
      </c>
      <c r="AI9" s="497">
        <f>AH9*$AI$5</f>
        <v>1652.2968646800005</v>
      </c>
      <c r="AJ9" s="497">
        <f t="shared" ref="AJ9:AJ15" si="2">K9</f>
        <v>2799</v>
      </c>
      <c r="AK9" s="98">
        <f>AJ9/AI9</f>
        <v>1.6940055142827382</v>
      </c>
      <c r="AL9" s="427">
        <f>(AI9-AJ9)*-1</f>
        <v>1146.7031353199995</v>
      </c>
      <c r="AM9" s="5"/>
      <c r="AN9" s="19" t="s">
        <v>95</v>
      </c>
      <c r="AO9" s="182">
        <f>REMP!J6</f>
        <v>2600</v>
      </c>
      <c r="AP9" s="182">
        <f>REMP!S6</f>
        <v>2642</v>
      </c>
      <c r="AQ9" s="182">
        <f>REMP!AB6</f>
        <v>2637</v>
      </c>
      <c r="AR9" s="142">
        <f>REMC!BV6</f>
        <v>700</v>
      </c>
      <c r="AS9" s="142">
        <f>REMC!CJ6</f>
        <v>501</v>
      </c>
      <c r="AT9" s="183"/>
      <c r="AU9" s="184"/>
      <c r="AV9" s="185">
        <v>0.16838960162052669</v>
      </c>
      <c r="AW9" s="186">
        <v>0.17</v>
      </c>
      <c r="AX9" s="187">
        <v>0.17</v>
      </c>
      <c r="AY9" s="188">
        <f>+AX9-AW9</f>
        <v>0</v>
      </c>
      <c r="AZ9" s="188">
        <f>+AY9*0.5</f>
        <v>0</v>
      </c>
      <c r="BA9" s="188">
        <f>+AZ9+AW9</f>
        <v>0.17</v>
      </c>
      <c r="BB9" s="189">
        <f>+BJ9</f>
        <v>0.17</v>
      </c>
      <c r="BC9" s="189">
        <v>1</v>
      </c>
      <c r="BD9" s="189">
        <v>6.2500000000000014E-2</v>
      </c>
      <c r="BE9" s="190">
        <f t="shared" ref="BE9:BF14" si="3">+BC9-Z9</f>
        <v>0</v>
      </c>
      <c r="BF9" s="190">
        <f t="shared" si="3"/>
        <v>9.800000000000017E-3</v>
      </c>
      <c r="BI9" s="191" t="s">
        <v>26</v>
      </c>
      <c r="BJ9" s="189">
        <v>0.17</v>
      </c>
      <c r="BK9" s="189">
        <v>0.21929999999999999</v>
      </c>
      <c r="BN9" s="192">
        <v>633</v>
      </c>
      <c r="BO9" s="192">
        <v>60</v>
      </c>
      <c r="BP9" s="192">
        <v>71</v>
      </c>
      <c r="BS9" s="193">
        <f>+AO9+AR9-AS9</f>
        <v>2799</v>
      </c>
      <c r="BT9" s="193">
        <f>+AP9+AR9-AS9</f>
        <v>2841</v>
      </c>
      <c r="BU9" s="193">
        <f>+AQ9+AR9-AS9</f>
        <v>2836</v>
      </c>
      <c r="BV9" s="184"/>
      <c r="BW9" s="184"/>
    </row>
    <row r="10" spans="1:75" s="191" customFormat="1" ht="15" customHeight="1" thickBot="1" x14ac:dyDescent="0.35">
      <c r="A10"/>
      <c r="B10"/>
      <c r="C10" s="64"/>
      <c r="D10" s="65"/>
      <c r="E10" s="66"/>
      <c r="F10" s="105"/>
      <c r="G10" s="19" t="s">
        <v>433</v>
      </c>
      <c r="H10" s="79"/>
      <c r="I10" s="79"/>
      <c r="J10" s="79"/>
      <c r="K10" s="79">
        <f t="shared" si="0"/>
        <v>1423</v>
      </c>
      <c r="L10" s="79"/>
      <c r="M10" s="79"/>
      <c r="N10" s="79">
        <f t="shared" ref="N10:N15" si="4">BT10</f>
        <v>1399</v>
      </c>
      <c r="O10" s="79"/>
      <c r="P10" s="79"/>
      <c r="Q10" s="79">
        <f t="shared" ref="Q10:Q15" si="5">BU10</f>
        <v>1433</v>
      </c>
      <c r="R10" s="79"/>
      <c r="S10" s="79"/>
      <c r="T10" s="842"/>
      <c r="U10" s="842">
        <f t="shared" ref="U10:U15" si="6">Q10</f>
        <v>1433</v>
      </c>
      <c r="V10" s="513">
        <f>Poblacion2024!Z7</f>
        <v>5100.7</v>
      </c>
      <c r="W10" s="35">
        <f t="shared" ref="W10:W15" si="7">IF(V10=0,0,+N10/V10)</f>
        <v>0.27427607975375928</v>
      </c>
      <c r="X10" s="517">
        <f t="shared" ref="X10:X15" si="8">$X$8</f>
        <v>0.23880000000000001</v>
      </c>
      <c r="Y10" s="516">
        <f t="shared" ref="Y10:Y17" si="9">+X10*$Y$8</f>
        <v>0.16716</v>
      </c>
      <c r="Z10" s="112">
        <f t="shared" si="1"/>
        <v>1</v>
      </c>
      <c r="AA10" s="77">
        <f t="shared" ref="AA10:AA17" si="10">(+Z10*$AA$8/100)</f>
        <v>5.2699999999999997E-2</v>
      </c>
      <c r="AB10" s="144">
        <f t="shared" ref="AB10:AB17" si="11">X10</f>
        <v>0.23880000000000001</v>
      </c>
      <c r="AC10" s="144">
        <f t="shared" ref="AC10:AC17" si="12">(AG10/AE10)</f>
        <v>0.27427607975375928</v>
      </c>
      <c r="AD10" s="145">
        <f t="shared" ref="AD10:AD17" si="13">AC10/AB10</f>
        <v>1.148559797963816</v>
      </c>
      <c r="AE10" s="496">
        <f t="shared" ref="AE10:AE17" si="14">V10</f>
        <v>5100.7</v>
      </c>
      <c r="AF10" s="497">
        <f t="shared" ref="AF10:AF17" si="15">AE10*AB10</f>
        <v>1218.0471600000001</v>
      </c>
      <c r="AG10" s="496">
        <f t="shared" ref="AG10:AG15" si="16">N10</f>
        <v>1399</v>
      </c>
      <c r="AH10" s="497">
        <f t="shared" ref="AH10:AH15" si="17">AF10/$AI$4</f>
        <v>101.50393000000001</v>
      </c>
      <c r="AI10" s="497">
        <f t="shared" ref="AI10:AI17" si="18">AH10*$AI$5</f>
        <v>1015.0393000000001</v>
      </c>
      <c r="AJ10" s="497">
        <f t="shared" si="2"/>
        <v>1423</v>
      </c>
      <c r="AK10" s="98">
        <f t="shared" ref="AK10:AK17" si="19">AJ10/AI10</f>
        <v>1.4019161622609093</v>
      </c>
      <c r="AL10" s="427">
        <f t="shared" ref="AL10:AL17" si="20">(AI10-AJ10)*-1</f>
        <v>407.96069999999986</v>
      </c>
      <c r="AM10" s="5"/>
      <c r="AN10" s="19" t="s">
        <v>96</v>
      </c>
      <c r="AO10" s="182">
        <f>REMP!J7</f>
        <v>1309</v>
      </c>
      <c r="AP10" s="182">
        <f>REMP!S7</f>
        <v>1285</v>
      </c>
      <c r="AQ10" s="182">
        <f>REMP!AB7</f>
        <v>1319</v>
      </c>
      <c r="AR10" s="142">
        <f>REMC!BV7</f>
        <v>720</v>
      </c>
      <c r="AS10" s="142">
        <f>REMC!CJ7</f>
        <v>606</v>
      </c>
      <c r="AT10" s="183"/>
      <c r="AU10" s="184"/>
      <c r="AV10" s="185">
        <v>0.16590575275397798</v>
      </c>
      <c r="AW10" s="186">
        <v>0.17</v>
      </c>
      <c r="AX10" s="187">
        <v>0.17</v>
      </c>
      <c r="AY10" s="188">
        <f t="shared" ref="AY10:AY14" si="21">+AX10-AW10</f>
        <v>0</v>
      </c>
      <c r="AZ10" s="188">
        <f t="shared" ref="AZ10:AZ14" si="22">+AY10*0.5</f>
        <v>0</v>
      </c>
      <c r="BA10" s="188">
        <f t="shared" ref="BA10:BA14" si="23">+AZ10+AW10</f>
        <v>0.17</v>
      </c>
      <c r="BB10" s="189">
        <f>+BJ12</f>
        <v>0.17</v>
      </c>
      <c r="BC10" s="189">
        <v>1</v>
      </c>
      <c r="BD10" s="189">
        <v>6.2500000000000014E-2</v>
      </c>
      <c r="BE10" s="190">
        <f t="shared" si="3"/>
        <v>0</v>
      </c>
      <c r="BF10" s="190">
        <f t="shared" si="3"/>
        <v>9.800000000000017E-3</v>
      </c>
      <c r="BI10" s="191" t="s">
        <v>124</v>
      </c>
      <c r="BJ10" s="189">
        <v>0.17</v>
      </c>
      <c r="BK10" s="189">
        <v>0.2344</v>
      </c>
      <c r="BN10" s="192">
        <v>1511</v>
      </c>
      <c r="BO10" s="192">
        <v>345</v>
      </c>
      <c r="BP10" s="192">
        <v>117</v>
      </c>
      <c r="BS10" s="193">
        <f>+AO10+AR10-AS10</f>
        <v>1423</v>
      </c>
      <c r="BT10" s="193">
        <f t="shared" ref="BT10:BT17" si="24">+AP10+AR10-AS10</f>
        <v>1399</v>
      </c>
      <c r="BU10" s="193">
        <f t="shared" ref="BU10:BU16" si="25">+AQ10+AR10-AS10</f>
        <v>1433</v>
      </c>
    </row>
    <row r="11" spans="1:75" s="191" customFormat="1" ht="15" customHeight="1" thickBot="1" x14ac:dyDescent="0.35">
      <c r="A11"/>
      <c r="B11"/>
      <c r="C11" s="64"/>
      <c r="D11" s="65"/>
      <c r="E11" s="66"/>
      <c r="F11" s="105"/>
      <c r="G11" s="19" t="s">
        <v>434</v>
      </c>
      <c r="H11" s="73"/>
      <c r="I11" s="73"/>
      <c r="J11" s="73"/>
      <c r="K11" s="73">
        <f t="shared" si="0"/>
        <v>1079</v>
      </c>
      <c r="L11" s="73"/>
      <c r="M11" s="73"/>
      <c r="N11" s="73">
        <f t="shared" si="4"/>
        <v>1079</v>
      </c>
      <c r="O11" s="73"/>
      <c r="P11" s="73"/>
      <c r="Q11" s="73">
        <f t="shared" si="5"/>
        <v>1078</v>
      </c>
      <c r="R11" s="73"/>
      <c r="S11" s="73"/>
      <c r="T11" s="843"/>
      <c r="U11" s="843">
        <f t="shared" si="6"/>
        <v>1078</v>
      </c>
      <c r="V11" s="513">
        <f>Poblacion2024!Z8</f>
        <v>4023.36</v>
      </c>
      <c r="W11" s="35">
        <f t="shared" si="7"/>
        <v>0.26818380656963331</v>
      </c>
      <c r="X11" s="517">
        <f t="shared" si="8"/>
        <v>0.23880000000000001</v>
      </c>
      <c r="Y11" s="516">
        <f t="shared" si="9"/>
        <v>0.16716</v>
      </c>
      <c r="Z11" s="112">
        <f t="shared" si="1"/>
        <v>1</v>
      </c>
      <c r="AA11" s="77">
        <f t="shared" si="10"/>
        <v>5.2699999999999997E-2</v>
      </c>
      <c r="AB11" s="144">
        <f t="shared" si="11"/>
        <v>0.23880000000000001</v>
      </c>
      <c r="AC11" s="144">
        <f t="shared" si="12"/>
        <v>0.26818380656963331</v>
      </c>
      <c r="AD11" s="145">
        <f t="shared" si="13"/>
        <v>1.1230477662044946</v>
      </c>
      <c r="AE11" s="496">
        <f t="shared" si="14"/>
        <v>4023.36</v>
      </c>
      <c r="AF11" s="497">
        <f t="shared" si="15"/>
        <v>960.77836800000011</v>
      </c>
      <c r="AG11" s="496">
        <f t="shared" si="16"/>
        <v>1079</v>
      </c>
      <c r="AH11" s="497">
        <f t="shared" si="17"/>
        <v>80.064864000000014</v>
      </c>
      <c r="AI11" s="497">
        <f t="shared" si="18"/>
        <v>800.64864000000011</v>
      </c>
      <c r="AJ11" s="497">
        <f t="shared" si="2"/>
        <v>1079</v>
      </c>
      <c r="AK11" s="98">
        <f t="shared" si="19"/>
        <v>1.3476573194453936</v>
      </c>
      <c r="AL11" s="427">
        <f t="shared" si="20"/>
        <v>278.35135999999989</v>
      </c>
      <c r="AM11" s="5"/>
      <c r="AN11" s="19" t="s">
        <v>97</v>
      </c>
      <c r="AO11" s="182">
        <f>REMP!J8</f>
        <v>848</v>
      </c>
      <c r="AP11" s="182">
        <f>REMP!S8</f>
        <v>848</v>
      </c>
      <c r="AQ11" s="182">
        <f>REMP!AB8</f>
        <v>847</v>
      </c>
      <c r="AR11" s="142">
        <f>REMC!BV8</f>
        <v>891</v>
      </c>
      <c r="AS11" s="142">
        <f>REMC!CJ8</f>
        <v>660</v>
      </c>
      <c r="AT11" s="183"/>
      <c r="AU11" s="184"/>
      <c r="AV11" s="185">
        <v>0.22822151067323482</v>
      </c>
      <c r="AW11" s="186">
        <v>0.17</v>
      </c>
      <c r="AX11" s="187">
        <v>0.17</v>
      </c>
      <c r="AY11" s="188">
        <f t="shared" si="21"/>
        <v>0</v>
      </c>
      <c r="AZ11" s="188">
        <f t="shared" si="22"/>
        <v>0</v>
      </c>
      <c r="BA11" s="188">
        <f t="shared" si="23"/>
        <v>0.17</v>
      </c>
      <c r="BB11" s="189">
        <f>+BJ10</f>
        <v>0.17</v>
      </c>
      <c r="BC11" s="189">
        <v>1</v>
      </c>
      <c r="BD11" s="189">
        <v>6.2500000000000014E-2</v>
      </c>
      <c r="BE11" s="190">
        <f t="shared" si="3"/>
        <v>0</v>
      </c>
      <c r="BF11" s="190">
        <f t="shared" si="3"/>
        <v>9.800000000000017E-3</v>
      </c>
      <c r="BI11" s="191" t="s">
        <v>32</v>
      </c>
      <c r="BJ11" s="189">
        <v>0.17</v>
      </c>
      <c r="BK11" s="189">
        <v>0.26929999999999998</v>
      </c>
      <c r="BN11" s="192">
        <v>1730</v>
      </c>
      <c r="BO11" s="192">
        <v>193</v>
      </c>
      <c r="BP11" s="192">
        <v>13</v>
      </c>
      <c r="BS11" s="193">
        <f t="shared" ref="BS11:BS16" si="26">+AO11+AR11-AS11</f>
        <v>1079</v>
      </c>
      <c r="BT11" s="193">
        <f t="shared" si="24"/>
        <v>1079</v>
      </c>
      <c r="BU11" s="193">
        <f t="shared" si="25"/>
        <v>1078</v>
      </c>
    </row>
    <row r="12" spans="1:75" s="191" customFormat="1" ht="15" customHeight="1" thickBot="1" x14ac:dyDescent="0.35">
      <c r="A12"/>
      <c r="B12"/>
      <c r="C12" s="64"/>
      <c r="D12" s="65"/>
      <c r="E12" s="66"/>
      <c r="F12" s="105"/>
      <c r="G12" s="19" t="s">
        <v>435</v>
      </c>
      <c r="H12" s="73"/>
      <c r="I12" s="73"/>
      <c r="J12" s="73"/>
      <c r="K12" s="73">
        <f t="shared" si="0"/>
        <v>759</v>
      </c>
      <c r="L12" s="73"/>
      <c r="M12" s="73"/>
      <c r="N12" s="73">
        <f t="shared" si="4"/>
        <v>877</v>
      </c>
      <c r="O12" s="73"/>
      <c r="P12" s="73"/>
      <c r="Q12" s="73">
        <f t="shared" si="5"/>
        <v>999</v>
      </c>
      <c r="R12" s="73"/>
      <c r="S12" s="73"/>
      <c r="T12" s="843"/>
      <c r="U12" s="843">
        <f t="shared" si="6"/>
        <v>999</v>
      </c>
      <c r="V12" s="513">
        <f>Poblacion2024!Z9</f>
        <v>4068.3978720000009</v>
      </c>
      <c r="W12" s="35">
        <f t="shared" si="7"/>
        <v>0.21556397077969955</v>
      </c>
      <c r="X12" s="517">
        <f t="shared" si="8"/>
        <v>0.23880000000000001</v>
      </c>
      <c r="Y12" s="516">
        <f t="shared" si="9"/>
        <v>0.16716</v>
      </c>
      <c r="Z12" s="112">
        <f t="shared" si="1"/>
        <v>1</v>
      </c>
      <c r="AA12" s="77">
        <f t="shared" si="10"/>
        <v>5.2699999999999997E-2</v>
      </c>
      <c r="AB12" s="144">
        <f t="shared" si="11"/>
        <v>0.23880000000000001</v>
      </c>
      <c r="AC12" s="144">
        <f t="shared" si="12"/>
        <v>0.21556397077969955</v>
      </c>
      <c r="AD12" s="145">
        <f t="shared" si="13"/>
        <v>0.90269669505736827</v>
      </c>
      <c r="AE12" s="496">
        <f t="shared" si="14"/>
        <v>4068.3978720000009</v>
      </c>
      <c r="AF12" s="497">
        <f t="shared" si="15"/>
        <v>971.53341183360021</v>
      </c>
      <c r="AG12" s="496">
        <f t="shared" si="16"/>
        <v>877</v>
      </c>
      <c r="AH12" s="497">
        <f t="shared" si="17"/>
        <v>80.961117652800013</v>
      </c>
      <c r="AI12" s="497">
        <f t="shared" si="18"/>
        <v>809.6111765280001</v>
      </c>
      <c r="AJ12" s="497">
        <f t="shared" si="2"/>
        <v>759</v>
      </c>
      <c r="AK12" s="98">
        <f t="shared" si="19"/>
        <v>0.93748705799116427</v>
      </c>
      <c r="AL12" s="427">
        <f t="shared" si="20"/>
        <v>-50.611176528000101</v>
      </c>
      <c r="AM12" s="5"/>
      <c r="AN12" s="19" t="s">
        <v>98</v>
      </c>
      <c r="AO12" s="182">
        <f>REMP!J9</f>
        <v>763</v>
      </c>
      <c r="AP12" s="182">
        <f>REMP!S9</f>
        <v>881</v>
      </c>
      <c r="AQ12" s="182">
        <f>REMP!AB9</f>
        <v>1003</v>
      </c>
      <c r="AR12" s="142">
        <f>REMC!BV9</f>
        <v>508</v>
      </c>
      <c r="AS12" s="142">
        <f>REMC!CJ9</f>
        <v>512</v>
      </c>
      <c r="AT12" s="183"/>
      <c r="AU12" s="184"/>
      <c r="AV12" s="185">
        <v>0.11272277227722774</v>
      </c>
      <c r="AW12" s="186">
        <v>0.17</v>
      </c>
      <c r="AX12" s="187">
        <v>0.17</v>
      </c>
      <c r="AY12" s="188">
        <f t="shared" si="21"/>
        <v>0</v>
      </c>
      <c r="AZ12" s="188">
        <f t="shared" si="22"/>
        <v>0</v>
      </c>
      <c r="BA12" s="188">
        <f t="shared" si="23"/>
        <v>0.17</v>
      </c>
      <c r="BB12" s="189">
        <f>+BJ11</f>
        <v>0.17</v>
      </c>
      <c r="BC12" s="189">
        <v>1</v>
      </c>
      <c r="BD12" s="189">
        <v>6.2500000000000014E-2</v>
      </c>
      <c r="BE12" s="190">
        <f t="shared" si="3"/>
        <v>0</v>
      </c>
      <c r="BF12" s="190">
        <f t="shared" si="3"/>
        <v>9.800000000000017E-3</v>
      </c>
      <c r="BI12" s="191" t="s">
        <v>31</v>
      </c>
      <c r="BJ12" s="189">
        <v>0.17</v>
      </c>
      <c r="BK12" s="189">
        <v>0.21340000000000001</v>
      </c>
      <c r="BN12" s="192">
        <v>1218</v>
      </c>
      <c r="BO12" s="192">
        <v>94</v>
      </c>
      <c r="BP12" s="192">
        <v>52</v>
      </c>
      <c r="BS12" s="193">
        <f t="shared" si="26"/>
        <v>759</v>
      </c>
      <c r="BT12" s="193">
        <f t="shared" si="24"/>
        <v>877</v>
      </c>
      <c r="BU12" s="193">
        <f t="shared" si="25"/>
        <v>999</v>
      </c>
    </row>
    <row r="13" spans="1:75" s="191" customFormat="1" ht="15" customHeight="1" thickBot="1" x14ac:dyDescent="0.35">
      <c r="A13"/>
      <c r="B13"/>
      <c r="C13" s="64"/>
      <c r="D13" s="65"/>
      <c r="E13" s="66"/>
      <c r="F13" s="105"/>
      <c r="G13" s="19" t="s">
        <v>436</v>
      </c>
      <c r="H13" s="73"/>
      <c r="I13" s="73"/>
      <c r="J13" s="73"/>
      <c r="K13" s="73">
        <f t="shared" si="0"/>
        <v>2142</v>
      </c>
      <c r="L13" s="73"/>
      <c r="M13" s="73"/>
      <c r="N13" s="73">
        <f t="shared" si="4"/>
        <v>2285</v>
      </c>
      <c r="O13" s="73"/>
      <c r="P13" s="73"/>
      <c r="Q13" s="73">
        <f t="shared" si="5"/>
        <v>2435</v>
      </c>
      <c r="R13" s="73"/>
      <c r="S13" s="73"/>
      <c r="T13" s="843"/>
      <c r="U13" s="843">
        <f t="shared" si="6"/>
        <v>2435</v>
      </c>
      <c r="V13" s="513">
        <f>Poblacion2024!Z10</f>
        <v>4071.98</v>
      </c>
      <c r="W13" s="35">
        <f t="shared" si="7"/>
        <v>0.56115206852685917</v>
      </c>
      <c r="X13" s="517">
        <f t="shared" si="8"/>
        <v>0.23880000000000001</v>
      </c>
      <c r="Y13" s="516">
        <f t="shared" si="9"/>
        <v>0.16716</v>
      </c>
      <c r="Z13" s="112">
        <f t="shared" si="1"/>
        <v>1</v>
      </c>
      <c r="AA13" s="77">
        <f t="shared" si="10"/>
        <v>5.2699999999999997E-2</v>
      </c>
      <c r="AB13" s="144">
        <f t="shared" si="11"/>
        <v>0.23880000000000001</v>
      </c>
      <c r="AC13" s="144">
        <f t="shared" si="12"/>
        <v>0.56115206852685917</v>
      </c>
      <c r="AD13" s="145">
        <f t="shared" si="13"/>
        <v>2.3498830340320733</v>
      </c>
      <c r="AE13" s="496">
        <f t="shared" si="14"/>
        <v>4071.98</v>
      </c>
      <c r="AF13" s="497">
        <f t="shared" si="15"/>
        <v>972.388824</v>
      </c>
      <c r="AG13" s="496">
        <f t="shared" si="16"/>
        <v>2285</v>
      </c>
      <c r="AH13" s="497">
        <f t="shared" si="17"/>
        <v>81.032402000000005</v>
      </c>
      <c r="AI13" s="497">
        <f t="shared" si="18"/>
        <v>810.32402000000002</v>
      </c>
      <c r="AJ13" s="497">
        <f t="shared" si="2"/>
        <v>2142</v>
      </c>
      <c r="AK13" s="98">
        <f t="shared" si="19"/>
        <v>2.6433870243658828</v>
      </c>
      <c r="AL13" s="427">
        <f t="shared" si="20"/>
        <v>1331.67598</v>
      </c>
      <c r="AM13" s="5"/>
      <c r="AN13" s="19" t="s">
        <v>99</v>
      </c>
      <c r="AO13" s="182">
        <f>REMP!J10</f>
        <v>1732</v>
      </c>
      <c r="AP13" s="182">
        <f>REMP!S10</f>
        <v>1875</v>
      </c>
      <c r="AQ13" s="182">
        <f>REMP!AB10</f>
        <v>2025</v>
      </c>
      <c r="AR13" s="142">
        <f>REMC!BV10</f>
        <v>496</v>
      </c>
      <c r="AS13" s="142">
        <f>REMC!CJ10</f>
        <v>86</v>
      </c>
      <c r="AT13" s="183"/>
      <c r="AU13" s="184"/>
      <c r="AV13" s="185">
        <v>0.21899703217744454</v>
      </c>
      <c r="AW13" s="186">
        <v>0.17</v>
      </c>
      <c r="AX13" s="187">
        <v>0.17</v>
      </c>
      <c r="AY13" s="188">
        <f t="shared" si="21"/>
        <v>0</v>
      </c>
      <c r="AZ13" s="188">
        <f t="shared" si="22"/>
        <v>0</v>
      </c>
      <c r="BA13" s="188">
        <f t="shared" si="23"/>
        <v>0.17</v>
      </c>
      <c r="BB13" s="189">
        <f t="shared" ref="BB13:BB14" si="27">+BJ13</f>
        <v>0.17</v>
      </c>
      <c r="BC13" s="189">
        <v>0.88647058823529401</v>
      </c>
      <c r="BD13" s="189">
        <v>5.540441176470589E-2</v>
      </c>
      <c r="BE13" s="190">
        <f t="shared" si="3"/>
        <v>-0.11352941176470599</v>
      </c>
      <c r="BF13" s="190">
        <f t="shared" si="3"/>
        <v>2.7044117647058927E-3</v>
      </c>
      <c r="BI13" s="191" t="s">
        <v>33</v>
      </c>
      <c r="BJ13" s="189">
        <v>0.17</v>
      </c>
      <c r="BK13" s="189">
        <v>0.1507</v>
      </c>
      <c r="BN13" s="192">
        <v>820</v>
      </c>
      <c r="BO13" s="192">
        <v>44</v>
      </c>
      <c r="BP13" s="192">
        <v>32</v>
      </c>
      <c r="BS13" s="193">
        <f t="shared" si="26"/>
        <v>2142</v>
      </c>
      <c r="BT13" s="193">
        <f t="shared" si="24"/>
        <v>2285</v>
      </c>
      <c r="BU13" s="193">
        <f t="shared" si="25"/>
        <v>2435</v>
      </c>
    </row>
    <row r="14" spans="1:75" s="191" customFormat="1" ht="15" customHeight="1" thickBot="1" x14ac:dyDescent="0.35">
      <c r="A14"/>
      <c r="B14"/>
      <c r="C14" s="64"/>
      <c r="D14" s="65"/>
      <c r="E14" s="66"/>
      <c r="F14" s="105"/>
      <c r="G14" s="19" t="s">
        <v>437</v>
      </c>
      <c r="H14" s="73"/>
      <c r="I14" s="73"/>
      <c r="J14" s="73"/>
      <c r="K14" s="73">
        <f t="shared" si="0"/>
        <v>26</v>
      </c>
      <c r="L14" s="73"/>
      <c r="M14" s="73"/>
      <c r="N14" s="73">
        <f t="shared" si="4"/>
        <v>23</v>
      </c>
      <c r="O14" s="73"/>
      <c r="P14" s="73"/>
      <c r="Q14" s="73">
        <f t="shared" si="5"/>
        <v>27</v>
      </c>
      <c r="R14" s="73"/>
      <c r="S14" s="73"/>
      <c r="T14" s="843"/>
      <c r="U14" s="843">
        <f t="shared" si="6"/>
        <v>27</v>
      </c>
      <c r="V14" s="513">
        <f>Poblacion2024!Z11</f>
        <v>109.36067999999999</v>
      </c>
      <c r="W14" s="35">
        <f t="shared" si="7"/>
        <v>0.21031324969815479</v>
      </c>
      <c r="X14" s="517">
        <f t="shared" si="8"/>
        <v>0.23880000000000001</v>
      </c>
      <c r="Y14" s="516">
        <f t="shared" si="9"/>
        <v>0.16716</v>
      </c>
      <c r="Z14" s="112">
        <f t="shared" si="1"/>
        <v>1</v>
      </c>
      <c r="AA14" s="77">
        <f t="shared" si="10"/>
        <v>5.2699999999999997E-2</v>
      </c>
      <c r="AB14" s="144">
        <f t="shared" si="11"/>
        <v>0.23880000000000001</v>
      </c>
      <c r="AC14" s="144">
        <f t="shared" si="12"/>
        <v>0.21031324969815479</v>
      </c>
      <c r="AD14" s="145">
        <f t="shared" si="13"/>
        <v>0.88070875082979394</v>
      </c>
      <c r="AE14" s="496">
        <f t="shared" si="14"/>
        <v>109.36067999999999</v>
      </c>
      <c r="AF14" s="497">
        <f t="shared" si="15"/>
        <v>26.115330384</v>
      </c>
      <c r="AG14" s="496">
        <f t="shared" si="16"/>
        <v>23</v>
      </c>
      <c r="AH14" s="497">
        <f t="shared" si="17"/>
        <v>2.1762775319999998</v>
      </c>
      <c r="AI14" s="497">
        <f t="shared" si="18"/>
        <v>21.762775319999999</v>
      </c>
      <c r="AJ14" s="497">
        <f t="shared" si="2"/>
        <v>26</v>
      </c>
      <c r="AK14" s="98">
        <f t="shared" si="19"/>
        <v>1.1947005663430248</v>
      </c>
      <c r="AL14" s="427">
        <f t="shared" si="20"/>
        <v>4.2372246800000006</v>
      </c>
      <c r="AM14" s="5"/>
      <c r="AN14" s="19" t="s">
        <v>100</v>
      </c>
      <c r="AO14" s="182">
        <f>REMP!J11</f>
        <v>26</v>
      </c>
      <c r="AP14" s="182">
        <f>REMP!S11</f>
        <v>23</v>
      </c>
      <c r="AQ14" s="182">
        <f>REMP!AB11</f>
        <v>27</v>
      </c>
      <c r="AR14" s="142">
        <f>REMC!BV11</f>
        <v>9</v>
      </c>
      <c r="AS14" s="142">
        <f>REMC!CJ11</f>
        <v>9</v>
      </c>
      <c r="AT14" s="183"/>
      <c r="AU14" s="184"/>
      <c r="AV14" s="185">
        <v>0.13024505588993981</v>
      </c>
      <c r="AW14" s="186">
        <v>0.17</v>
      </c>
      <c r="AX14" s="187">
        <v>0.17</v>
      </c>
      <c r="AY14" s="188">
        <f t="shared" si="21"/>
        <v>0</v>
      </c>
      <c r="AZ14" s="188">
        <f t="shared" si="22"/>
        <v>0</v>
      </c>
      <c r="BA14" s="188">
        <f t="shared" si="23"/>
        <v>0.17</v>
      </c>
      <c r="BB14" s="189">
        <f t="shared" si="27"/>
        <v>0.153</v>
      </c>
      <c r="BC14" s="189">
        <v>1</v>
      </c>
      <c r="BD14" s="189">
        <v>6.2500000000000014E-2</v>
      </c>
      <c r="BE14" s="190">
        <f t="shared" si="3"/>
        <v>0</v>
      </c>
      <c r="BF14" s="190">
        <f t="shared" si="3"/>
        <v>9.800000000000017E-3</v>
      </c>
      <c r="BI14" s="191" t="s">
        <v>25</v>
      </c>
      <c r="BJ14" s="189">
        <v>0.153</v>
      </c>
      <c r="BK14" s="189">
        <v>0.21920000000000001</v>
      </c>
      <c r="BN14" s="192">
        <v>2358</v>
      </c>
      <c r="BO14" s="192">
        <v>262</v>
      </c>
      <c r="BP14" s="192">
        <v>157</v>
      </c>
      <c r="BS14" s="193">
        <f t="shared" si="26"/>
        <v>26</v>
      </c>
      <c r="BT14" s="193">
        <f t="shared" si="24"/>
        <v>23</v>
      </c>
      <c r="BU14" s="193">
        <f t="shared" si="25"/>
        <v>27</v>
      </c>
    </row>
    <row r="15" spans="1:75" s="191" customFormat="1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81"/>
      <c r="I15" s="81"/>
      <c r="J15" s="81"/>
      <c r="K15" s="81">
        <f t="shared" si="0"/>
        <v>561</v>
      </c>
      <c r="L15" s="81"/>
      <c r="M15" s="81"/>
      <c r="N15" s="81">
        <f t="shared" si="4"/>
        <v>548</v>
      </c>
      <c r="O15" s="81"/>
      <c r="P15" s="81"/>
      <c r="Q15" s="81">
        <f t="shared" si="5"/>
        <v>645</v>
      </c>
      <c r="R15" s="81"/>
      <c r="S15" s="81"/>
      <c r="T15" s="844"/>
      <c r="U15" s="844">
        <f t="shared" si="6"/>
        <v>645</v>
      </c>
      <c r="V15" s="514">
        <f>Poblacion2024!Z12</f>
        <v>1073.6621280000002</v>
      </c>
      <c r="W15" s="35">
        <f t="shared" si="7"/>
        <v>0.51040265434416066</v>
      </c>
      <c r="X15" s="518">
        <f t="shared" si="8"/>
        <v>0.23880000000000001</v>
      </c>
      <c r="Y15" s="672">
        <f t="shared" si="9"/>
        <v>0.16716</v>
      </c>
      <c r="Z15" s="116">
        <f t="shared" si="1"/>
        <v>1</v>
      </c>
      <c r="AA15" s="83">
        <f t="shared" si="10"/>
        <v>5.2699999999999997E-2</v>
      </c>
      <c r="AB15" s="144">
        <f t="shared" si="11"/>
        <v>0.23880000000000001</v>
      </c>
      <c r="AC15" s="144">
        <f t="shared" si="12"/>
        <v>0.51040265434416066</v>
      </c>
      <c r="AD15" s="145">
        <f t="shared" si="13"/>
        <v>2.1373645491799023</v>
      </c>
      <c r="AE15" s="496">
        <f t="shared" si="14"/>
        <v>1073.6621280000002</v>
      </c>
      <c r="AF15" s="497">
        <f t="shared" si="15"/>
        <v>256.39051616640006</v>
      </c>
      <c r="AG15" s="496">
        <f t="shared" si="16"/>
        <v>548</v>
      </c>
      <c r="AH15" s="497">
        <f t="shared" si="17"/>
        <v>21.365876347200004</v>
      </c>
      <c r="AI15" s="497">
        <f t="shared" si="18"/>
        <v>213.65876347200003</v>
      </c>
      <c r="AJ15" s="497">
        <f t="shared" si="2"/>
        <v>561</v>
      </c>
      <c r="AK15" s="98">
        <f t="shared" si="19"/>
        <v>2.6256821432626096</v>
      </c>
      <c r="AL15" s="427">
        <f t="shared" si="20"/>
        <v>347.34123652799997</v>
      </c>
      <c r="AM15" s="5"/>
      <c r="AN15" s="19" t="s">
        <v>101</v>
      </c>
      <c r="AO15" s="182">
        <f>REMP!J12</f>
        <v>427</v>
      </c>
      <c r="AP15" s="182">
        <f>REMP!S12</f>
        <v>414</v>
      </c>
      <c r="AQ15" s="182">
        <f>REMP!AB12</f>
        <v>511</v>
      </c>
      <c r="AR15" s="142">
        <f>REMC!BV12</f>
        <v>196</v>
      </c>
      <c r="AS15" s="142">
        <f>REMC!CJ12</f>
        <v>62</v>
      </c>
      <c r="AT15" s="183"/>
      <c r="AU15" s="184"/>
      <c r="AV15" s="185"/>
      <c r="AW15" s="186"/>
      <c r="AX15" s="187"/>
      <c r="AY15" s="188"/>
      <c r="AZ15" s="188"/>
      <c r="BA15" s="188"/>
      <c r="BB15" s="189"/>
      <c r="BC15" s="189"/>
      <c r="BD15" s="189"/>
      <c r="BE15" s="190"/>
      <c r="BF15" s="190"/>
      <c r="BJ15" s="189"/>
      <c r="BK15" s="189"/>
      <c r="BN15" s="192"/>
      <c r="BO15" s="192"/>
      <c r="BP15" s="192"/>
      <c r="BS15" s="193">
        <f t="shared" si="26"/>
        <v>561</v>
      </c>
      <c r="BT15" s="193">
        <f t="shared" si="24"/>
        <v>548</v>
      </c>
      <c r="BU15" s="193">
        <f t="shared" si="25"/>
        <v>645</v>
      </c>
    </row>
    <row r="16" spans="1:75" s="191" customFormat="1" ht="15.75" thickBot="1" x14ac:dyDescent="0.3">
      <c r="A16" s="5"/>
      <c r="B16" s="5"/>
      <c r="C16" s="5"/>
      <c r="D16" s="5"/>
      <c r="E16" s="6"/>
      <c r="F16" s="102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"/>
      <c r="AN16" s="57"/>
      <c r="AO16" s="195"/>
      <c r="AP16" s="195"/>
      <c r="AQ16" s="195"/>
      <c r="AR16" s="195"/>
      <c r="AS16" s="195"/>
      <c r="AT16" s="110"/>
      <c r="AU16" s="184"/>
      <c r="AV16" s="184"/>
      <c r="AW16" s="110"/>
      <c r="AX16" s="110"/>
      <c r="AY16" s="196"/>
      <c r="AZ16" s="196"/>
      <c r="BA16" s="111"/>
      <c r="BB16" s="184"/>
      <c r="BC16" s="189"/>
      <c r="BD16" s="189"/>
      <c r="BF16" s="189"/>
      <c r="BS16" s="197">
        <f t="shared" si="26"/>
        <v>0</v>
      </c>
      <c r="BT16" s="193">
        <f t="shared" si="24"/>
        <v>0</v>
      </c>
      <c r="BU16" s="193">
        <f t="shared" si="25"/>
        <v>0</v>
      </c>
    </row>
    <row r="17" spans="1:73" s="191" customFormat="1" ht="18" thickBot="1" x14ac:dyDescent="0.35">
      <c r="A17" s="5"/>
      <c r="B17" s="5"/>
      <c r="C17" s="5"/>
      <c r="D17" s="5"/>
      <c r="E17" s="6"/>
      <c r="F17" s="102"/>
      <c r="G17" s="29" t="s">
        <v>202</v>
      </c>
      <c r="H17" s="735"/>
      <c r="I17" s="736">
        <f t="shared" ref="I17:P17" si="28">SUM(I9:I15)</f>
        <v>0</v>
      </c>
      <c r="J17" s="736">
        <f t="shared" si="28"/>
        <v>0</v>
      </c>
      <c r="K17" s="736">
        <f>SUM(K9:K15)</f>
        <v>8789</v>
      </c>
      <c r="L17" s="736">
        <f t="shared" si="28"/>
        <v>0</v>
      </c>
      <c r="M17" s="736">
        <f t="shared" si="28"/>
        <v>0</v>
      </c>
      <c r="N17" s="736">
        <f t="shared" si="28"/>
        <v>9052</v>
      </c>
      <c r="O17" s="736">
        <f t="shared" si="28"/>
        <v>0</v>
      </c>
      <c r="P17" s="736">
        <f t="shared" si="28"/>
        <v>0</v>
      </c>
      <c r="Q17" s="736">
        <f t="shared" ref="Q17" si="29">SUM(Q9:Q15)</f>
        <v>9453</v>
      </c>
      <c r="R17" s="736">
        <f t="shared" ref="R17:U17" si="30">SUM(R9:R15)</f>
        <v>0</v>
      </c>
      <c r="S17" s="736">
        <f t="shared" si="30"/>
        <v>0</v>
      </c>
      <c r="T17" s="736">
        <f t="shared" si="30"/>
        <v>0</v>
      </c>
      <c r="U17" s="736">
        <f t="shared" si="30"/>
        <v>9453</v>
      </c>
      <c r="V17" s="737">
        <f>SUM(V9:V15)</f>
        <v>26750.460000000003</v>
      </c>
      <c r="W17" s="738">
        <f>IF(V17=0,0,+N17/V17)</f>
        <v>0.33838670437816765</v>
      </c>
      <c r="X17" s="739">
        <f>$X$8</f>
        <v>0.23880000000000001</v>
      </c>
      <c r="Y17" s="740">
        <f t="shared" si="9"/>
        <v>0.16716</v>
      </c>
      <c r="Z17" s="741">
        <f t="shared" ref="Z17" si="31">IF(+W17/Y17&gt;1,1,+W17/Y17)</f>
        <v>1</v>
      </c>
      <c r="AA17" s="508">
        <f t="shared" si="10"/>
        <v>5.2699999999999997E-2</v>
      </c>
      <c r="AB17" s="734">
        <f t="shared" si="11"/>
        <v>0.23880000000000001</v>
      </c>
      <c r="AC17" s="144">
        <f t="shared" si="12"/>
        <v>0.33838670437816765</v>
      </c>
      <c r="AD17" s="145">
        <f t="shared" si="13"/>
        <v>1.417029750327335</v>
      </c>
      <c r="AE17" s="96">
        <f t="shared" si="14"/>
        <v>26750.460000000003</v>
      </c>
      <c r="AF17" s="97">
        <f t="shared" si="15"/>
        <v>6388.0098480000006</v>
      </c>
      <c r="AG17" s="96">
        <f>N17</f>
        <v>9052</v>
      </c>
      <c r="AH17" s="97">
        <f>AF17/$AI$4</f>
        <v>532.33415400000001</v>
      </c>
      <c r="AI17" s="97">
        <f t="shared" si="18"/>
        <v>5323.3415400000004</v>
      </c>
      <c r="AJ17" s="97">
        <f>K17</f>
        <v>8789</v>
      </c>
      <c r="AK17" s="98">
        <f t="shared" si="19"/>
        <v>1.6510306419302188</v>
      </c>
      <c r="AL17" s="427">
        <f t="shared" si="20"/>
        <v>3465.6584599999996</v>
      </c>
      <c r="AM17" s="5"/>
      <c r="AN17" s="57"/>
      <c r="AO17" s="198">
        <f>SUM(AO9:AO15)</f>
        <v>7705</v>
      </c>
      <c r="AP17" s="800">
        <f>SUM(AP9:AP15)</f>
        <v>7968</v>
      </c>
      <c r="AQ17" s="800">
        <f>SUM(AQ9:AQ15)</f>
        <v>8369</v>
      </c>
      <c r="AR17" s="198">
        <f>SUM(AR9:AR15)</f>
        <v>3520</v>
      </c>
      <c r="AS17" s="198">
        <f>SUM(AS9:AS15)</f>
        <v>2436</v>
      </c>
      <c r="AT17" s="110"/>
      <c r="AU17" s="184"/>
      <c r="AV17" s="184"/>
      <c r="AW17" s="110"/>
      <c r="AX17" s="110"/>
      <c r="AY17" s="196"/>
      <c r="AZ17" s="196"/>
      <c r="BA17" s="111"/>
      <c r="BB17" s="184"/>
      <c r="BC17" s="189"/>
      <c r="BD17" s="189"/>
      <c r="BF17" s="189"/>
      <c r="BS17" s="193">
        <f>+AO17+AR17-AS17</f>
        <v>8789</v>
      </c>
      <c r="BT17" s="193">
        <f t="shared" si="24"/>
        <v>9052</v>
      </c>
      <c r="BU17" s="193">
        <f>+AQ17+AR17-AS17</f>
        <v>9453</v>
      </c>
    </row>
    <row r="18" spans="1:73" s="191" customFormat="1" x14ac:dyDescent="0.25">
      <c r="A18" s="5"/>
      <c r="B18" s="5"/>
      <c r="C18" s="5"/>
      <c r="D18" s="5"/>
      <c r="E18" s="6"/>
      <c r="F18" s="102"/>
      <c r="W18" s="189"/>
      <c r="Y18" s="194"/>
      <c r="AA18" s="194"/>
      <c r="AB18" s="57"/>
      <c r="AC18" s="57"/>
      <c r="AD18" s="57"/>
      <c r="AE18" s="57"/>
      <c r="AF18" s="57"/>
      <c r="AG18" s="57"/>
      <c r="AH18" s="57"/>
      <c r="AI18" s="18"/>
      <c r="AJ18" s="57"/>
      <c r="AK18" s="57"/>
      <c r="AL18" s="18"/>
      <c r="AM18" s="5"/>
      <c r="AN18" s="57"/>
      <c r="AO18" s="184"/>
      <c r="AP18" s="184"/>
      <c r="AQ18" s="184"/>
      <c r="AR18" s="184"/>
      <c r="AS18" s="184"/>
      <c r="AT18" s="110"/>
      <c r="AU18" s="184"/>
      <c r="AV18" s="184"/>
      <c r="AW18" s="110"/>
      <c r="AX18" s="110"/>
      <c r="AY18" s="196"/>
      <c r="AZ18" s="196"/>
      <c r="BA18" s="111"/>
      <c r="BB18" s="184"/>
      <c r="BC18" s="189"/>
      <c r="BD18" s="189"/>
      <c r="BF18" s="189"/>
    </row>
  </sheetData>
  <autoFilter ref="G4:G15" xr:uid="{00000000-0001-0000-0C00-000000000000}"/>
  <mergeCells count="11">
    <mergeCell ref="AO6:AS6"/>
    <mergeCell ref="AW6:AY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phoneticPr fontId="65" type="noConversion"/>
  <conditionalFormatting sqref="AL9:AL15">
    <cfRule type="colorScale" priority="2">
      <colorScale>
        <cfvo type="num" val="-1"/>
        <cfvo type="num" val="1"/>
        <color rgb="FFFF0000"/>
        <color rgb="FF00B050"/>
      </colorScale>
    </cfRule>
  </conditionalFormatting>
  <conditionalFormatting sqref="AL17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F42A-5810-4D6D-8B22-4DFE0E0C7D3E}">
  <sheetPr codeName="Hoja16">
    <tabColor rgb="FFFF0000"/>
  </sheetPr>
  <dimension ref="A1:AQ28"/>
  <sheetViews>
    <sheetView zoomScale="70" zoomScaleNormal="70" workbookViewId="0">
      <selection activeCell="Z28" sqref="Z28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5" style="160" customWidth="1"/>
    <col min="8" max="10" width="6.85546875" style="160" bestFit="1" customWidth="1"/>
    <col min="11" max="11" width="6.85546875" style="160" customWidth="1"/>
    <col min="12" max="17" width="6.85546875" style="160" bestFit="1" customWidth="1"/>
    <col min="18" max="18" width="5.42578125" style="160" bestFit="1" customWidth="1"/>
    <col min="19" max="19" width="4.5703125" style="160" bestFit="1" customWidth="1"/>
    <col min="20" max="20" width="8.140625" style="160" bestFit="1" customWidth="1"/>
    <col min="21" max="21" width="27.5703125" style="160" customWidth="1"/>
    <col min="22" max="22" width="14.85546875" style="161" customWidth="1"/>
    <col min="23" max="23" width="12.5703125" style="160" customWidth="1"/>
    <col min="24" max="24" width="14.140625" style="202" customWidth="1"/>
    <col min="25" max="25" width="16.42578125" style="160" customWidth="1"/>
    <col min="26" max="26" width="16.85546875" style="162" customWidth="1"/>
    <col min="27" max="33" width="12.7109375" style="162" customWidth="1"/>
    <col min="34" max="34" width="12.7109375" style="203" customWidth="1"/>
    <col min="35" max="35" width="12.7109375" style="162" customWidth="1"/>
    <col min="36" max="36" width="12.7109375" style="57" customWidth="1"/>
    <col min="37" max="37" width="12.7109375" style="18" customWidth="1"/>
    <col min="38" max="38" width="9.28515625" style="18" customWidth="1"/>
    <col min="39" max="39" width="3.42578125" style="57" customWidth="1"/>
    <col min="40" max="42" width="3.42578125" style="5" customWidth="1"/>
    <col min="43" max="43" width="3.42578125" style="57" customWidth="1"/>
    <col min="44" max="45" width="15.42578125" style="160" customWidth="1"/>
    <col min="46" max="16384" width="11.42578125" style="160"/>
  </cols>
  <sheetData>
    <row r="1" spans="1:43" s="159" customFormat="1" ht="21" customHeight="1" x14ac:dyDescent="0.45">
      <c r="A1" s="2"/>
      <c r="B1" s="2"/>
      <c r="C1" s="2"/>
      <c r="D1" s="2"/>
      <c r="E1" s="3"/>
      <c r="F1" s="100"/>
      <c r="G1" s="967" t="s">
        <v>0</v>
      </c>
      <c r="H1" s="967"/>
      <c r="I1" s="967"/>
      <c r="J1" s="967"/>
      <c r="K1" s="967"/>
      <c r="L1" s="967"/>
      <c r="M1" s="967"/>
      <c r="N1" s="967"/>
      <c r="O1" s="967"/>
      <c r="P1" s="967"/>
      <c r="Q1" s="967"/>
      <c r="R1" s="967"/>
      <c r="S1" s="967"/>
      <c r="T1" s="967"/>
      <c r="U1" s="967"/>
      <c r="V1" s="967"/>
      <c r="W1" s="967"/>
      <c r="X1" s="967"/>
      <c r="Y1" s="967"/>
      <c r="Z1" s="967"/>
      <c r="AA1" s="153"/>
      <c r="AB1" s="153"/>
      <c r="AC1" s="153"/>
      <c r="AD1" s="153"/>
      <c r="AE1" s="153"/>
      <c r="AF1" s="153"/>
      <c r="AG1" s="153"/>
      <c r="AH1" s="199"/>
      <c r="AI1" s="200"/>
      <c r="AJ1" s="56"/>
      <c r="AK1" s="134"/>
      <c r="AL1" s="134"/>
      <c r="AM1" s="56"/>
      <c r="AN1" s="2"/>
      <c r="AO1" s="2"/>
      <c r="AP1" s="2"/>
      <c r="AQ1" s="56"/>
    </row>
    <row r="2" spans="1:43" s="159" customFormat="1" ht="28.5" x14ac:dyDescent="0.45">
      <c r="A2" s="2"/>
      <c r="B2" s="2"/>
      <c r="C2" s="2"/>
      <c r="D2" s="2"/>
      <c r="E2" s="3"/>
      <c r="F2" s="100"/>
      <c r="G2" s="968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5" t="str">
        <f>+NOMBRE!B7</f>
        <v>ENERO - OCTUBRE 2024</v>
      </c>
      <c r="X2" s="905"/>
      <c r="Y2" s="905"/>
      <c r="Z2" s="905"/>
      <c r="AA2" s="4"/>
      <c r="AB2" s="4"/>
      <c r="AC2" s="4"/>
      <c r="AD2" s="4"/>
      <c r="AE2" s="4"/>
      <c r="AF2" s="4"/>
      <c r="AG2" s="4"/>
      <c r="AH2" s="201"/>
      <c r="AI2" s="200"/>
      <c r="AJ2" s="56"/>
      <c r="AK2" s="134"/>
      <c r="AL2" s="134"/>
      <c r="AM2" s="56"/>
      <c r="AN2" s="2"/>
      <c r="AO2" s="2"/>
      <c r="AP2" s="2"/>
      <c r="AQ2" s="56"/>
    </row>
    <row r="3" spans="1:43" ht="3" customHeight="1" x14ac:dyDescent="0.25"/>
    <row r="4" spans="1:43" ht="15" customHeight="1" x14ac:dyDescent="0.25">
      <c r="G4" s="987" t="s">
        <v>535</v>
      </c>
      <c r="H4" s="988"/>
      <c r="I4" s="988"/>
      <c r="J4" s="988"/>
      <c r="K4" s="988"/>
      <c r="L4" s="988"/>
      <c r="M4" s="988"/>
      <c r="N4" s="988"/>
      <c r="O4" s="988"/>
      <c r="P4" s="988"/>
      <c r="Q4" s="988"/>
      <c r="R4" s="988"/>
      <c r="S4" s="988"/>
      <c r="T4" s="988"/>
      <c r="U4" s="988"/>
      <c r="V4" s="988"/>
      <c r="W4" s="988"/>
      <c r="X4" s="988"/>
      <c r="Y4" s="988"/>
      <c r="Z4" s="989"/>
      <c r="AA4" s="5"/>
      <c r="AB4" s="5"/>
      <c r="AC4" s="5"/>
      <c r="AD4" s="6"/>
      <c r="AE4" s="5"/>
      <c r="AF4" s="5"/>
      <c r="AG4" s="87" t="s">
        <v>45</v>
      </c>
      <c r="AH4" s="88">
        <v>12</v>
      </c>
      <c r="AI4" s="6"/>
      <c r="AJ4" s="6"/>
      <c r="AK4" s="5"/>
    </row>
    <row r="5" spans="1:43" ht="36" customHeight="1" x14ac:dyDescent="0.25">
      <c r="G5" s="990"/>
      <c r="H5" s="991"/>
      <c r="I5" s="991"/>
      <c r="J5" s="991"/>
      <c r="K5" s="991"/>
      <c r="L5" s="991"/>
      <c r="M5" s="991"/>
      <c r="N5" s="991"/>
      <c r="O5" s="991"/>
      <c r="P5" s="991"/>
      <c r="Q5" s="991"/>
      <c r="R5" s="991"/>
      <c r="S5" s="991"/>
      <c r="T5" s="991"/>
      <c r="U5" s="991"/>
      <c r="V5" s="991"/>
      <c r="W5" s="991"/>
      <c r="X5" s="991"/>
      <c r="Y5" s="991"/>
      <c r="Z5" s="992"/>
      <c r="AA5" s="5"/>
      <c r="AB5" s="5"/>
      <c r="AC5" s="5"/>
      <c r="AD5" s="6"/>
      <c r="AE5" s="5"/>
      <c r="AF5" s="5"/>
      <c r="AG5" s="87" t="s">
        <v>46</v>
      </c>
      <c r="AH5" s="88">
        <f>meta3!AB2</f>
        <v>10</v>
      </c>
      <c r="AI5" s="6"/>
      <c r="AJ5" s="5"/>
      <c r="AK5" s="5"/>
    </row>
    <row r="6" spans="1:43" ht="58.5" customHeight="1" thickBot="1" x14ac:dyDescent="0.3">
      <c r="G6" s="165"/>
      <c r="H6" s="998" t="s">
        <v>4</v>
      </c>
      <c r="I6" s="998"/>
      <c r="J6" s="998"/>
      <c r="K6" s="998"/>
      <c r="L6" s="998"/>
      <c r="M6" s="998"/>
      <c r="N6" s="998"/>
      <c r="O6" s="998"/>
      <c r="P6" s="998"/>
      <c r="Q6" s="998"/>
      <c r="R6" s="998"/>
      <c r="S6" s="998"/>
      <c r="T6" s="999"/>
      <c r="U6" s="204" t="s">
        <v>5</v>
      </c>
      <c r="V6" s="993" t="s">
        <v>6</v>
      </c>
      <c r="W6" s="994">
        <f>+NOMBRE!$B$9</f>
        <v>2024</v>
      </c>
      <c r="X6" s="995"/>
      <c r="Y6" s="996" t="s">
        <v>7</v>
      </c>
      <c r="Z6" s="997"/>
      <c r="AA6" s="89" t="s">
        <v>47</v>
      </c>
      <c r="AB6" s="89" t="s">
        <v>48</v>
      </c>
      <c r="AC6" s="89" t="s">
        <v>49</v>
      </c>
      <c r="AD6" s="89" t="s">
        <v>50</v>
      </c>
      <c r="AE6" s="89" t="s">
        <v>51</v>
      </c>
      <c r="AF6" s="89" t="s">
        <v>52</v>
      </c>
      <c r="AG6" s="89" t="s">
        <v>45</v>
      </c>
      <c r="AH6" s="89" t="s">
        <v>53</v>
      </c>
      <c r="AI6" s="89" t="s">
        <v>54</v>
      </c>
      <c r="AJ6" s="89" t="s">
        <v>55</v>
      </c>
      <c r="AK6" s="89" t="s">
        <v>56</v>
      </c>
    </row>
    <row r="7" spans="1:43" ht="99.75" thickBot="1" x14ac:dyDescent="0.3">
      <c r="G7" s="603" t="s">
        <v>431</v>
      </c>
      <c r="H7" s="982" t="s">
        <v>440</v>
      </c>
      <c r="I7" s="982"/>
      <c r="J7" s="982"/>
      <c r="K7" s="982"/>
      <c r="L7" s="982"/>
      <c r="M7" s="982"/>
      <c r="N7" s="982"/>
      <c r="O7" s="982"/>
      <c r="P7" s="982"/>
      <c r="Q7" s="982"/>
      <c r="R7" s="982"/>
      <c r="S7" s="982"/>
      <c r="T7" s="983"/>
      <c r="U7" s="172" t="s">
        <v>110</v>
      </c>
      <c r="V7" s="976"/>
      <c r="W7" s="173" t="s">
        <v>11</v>
      </c>
      <c r="X7" s="173" t="s">
        <v>43</v>
      </c>
      <c r="Y7" s="174" t="s">
        <v>13</v>
      </c>
      <c r="Z7" s="14" t="s">
        <v>505</v>
      </c>
      <c r="AA7" s="90" t="s">
        <v>57</v>
      </c>
      <c r="AB7" s="90" t="s">
        <v>58</v>
      </c>
      <c r="AC7" s="90" t="s">
        <v>59</v>
      </c>
      <c r="AD7" s="91" t="s">
        <v>60</v>
      </c>
      <c r="AE7" s="91" t="s">
        <v>61</v>
      </c>
      <c r="AF7" s="91" t="s">
        <v>62</v>
      </c>
      <c r="AG7" s="91" t="s">
        <v>63</v>
      </c>
      <c r="AH7" s="91" t="s">
        <v>64</v>
      </c>
      <c r="AI7" s="91" t="s">
        <v>65</v>
      </c>
      <c r="AJ7" s="92" t="s">
        <v>66</v>
      </c>
      <c r="AK7" s="92" t="s">
        <v>67</v>
      </c>
    </row>
    <row r="8" spans="1:43" ht="18" thickBot="1" x14ac:dyDescent="0.3">
      <c r="G8" s="450"/>
      <c r="H8" s="448" t="s">
        <v>189</v>
      </c>
      <c r="I8" s="448" t="s">
        <v>190</v>
      </c>
      <c r="J8" s="448" t="s">
        <v>191</v>
      </c>
      <c r="K8" s="448" t="s">
        <v>192</v>
      </c>
      <c r="L8" s="448" t="s">
        <v>193</v>
      </c>
      <c r="M8" s="448" t="s">
        <v>194</v>
      </c>
      <c r="N8" s="448" t="s">
        <v>195</v>
      </c>
      <c r="O8" s="448" t="s">
        <v>196</v>
      </c>
      <c r="P8" s="448" t="s">
        <v>423</v>
      </c>
      <c r="Q8" s="448" t="s">
        <v>198</v>
      </c>
      <c r="R8" s="448" t="s">
        <v>199</v>
      </c>
      <c r="S8" s="448" t="s">
        <v>200</v>
      </c>
      <c r="T8" s="500" t="s">
        <v>201</v>
      </c>
      <c r="U8" s="172"/>
      <c r="V8" s="453"/>
      <c r="W8" s="690">
        <f>indicadores!E30</f>
        <v>6</v>
      </c>
      <c r="X8" s="454">
        <f>indicadores!$D$54</f>
        <v>0.7</v>
      </c>
      <c r="Y8" s="455"/>
      <c r="Z8" s="439">
        <v>1.32</v>
      </c>
      <c r="AA8" s="93" t="s">
        <v>68</v>
      </c>
      <c r="AB8" s="93" t="s">
        <v>69</v>
      </c>
      <c r="AC8" s="93" t="s">
        <v>70</v>
      </c>
      <c r="AD8" s="93" t="s">
        <v>71</v>
      </c>
      <c r="AE8" s="93" t="s">
        <v>72</v>
      </c>
      <c r="AF8" s="93" t="s">
        <v>73</v>
      </c>
      <c r="AG8" s="93" t="s">
        <v>74</v>
      </c>
      <c r="AH8" s="93" t="s">
        <v>75</v>
      </c>
      <c r="AI8" s="93" t="s">
        <v>76</v>
      </c>
      <c r="AJ8" s="93" t="s">
        <v>77</v>
      </c>
      <c r="AK8" s="93" t="s">
        <v>78</v>
      </c>
    </row>
    <row r="9" spans="1:43" s="191" customFormat="1" ht="15" customHeight="1" thickBot="1" x14ac:dyDescent="0.35">
      <c r="A9"/>
      <c r="B9"/>
      <c r="C9" s="64"/>
      <c r="D9" s="65"/>
      <c r="E9" s="66"/>
      <c r="F9" s="105"/>
      <c r="G9" s="19" t="s">
        <v>432</v>
      </c>
      <c r="H9" s="180">
        <f>REMC!DN6</f>
        <v>1032</v>
      </c>
      <c r="I9" s="180">
        <f>REMC!DO6</f>
        <v>893</v>
      </c>
      <c r="J9" s="180">
        <f>REMC!DP6</f>
        <v>1040</v>
      </c>
      <c r="K9" s="180">
        <f>REMC!DQ6</f>
        <v>972</v>
      </c>
      <c r="L9" s="180">
        <f>REMC!DR6</f>
        <v>1028</v>
      </c>
      <c r="M9" s="180">
        <f>REMC!DS6</f>
        <v>1094</v>
      </c>
      <c r="N9" s="180">
        <f>REMC!DT6</f>
        <v>1086</v>
      </c>
      <c r="O9" s="180">
        <f>REMC!DU6</f>
        <v>1000</v>
      </c>
      <c r="P9" s="180">
        <f>REMC!DV6</f>
        <v>761</v>
      </c>
      <c r="Q9" s="180">
        <f>REMC!DW6</f>
        <v>1252</v>
      </c>
      <c r="R9" s="180">
        <f>REMC!DX6</f>
        <v>0</v>
      </c>
      <c r="S9" s="180">
        <f>REMC!DY6</f>
        <v>0</v>
      </c>
      <c r="T9" s="520">
        <f>SUM(H9:S9)</f>
        <v>10158</v>
      </c>
      <c r="U9" s="562">
        <f>meta10a!N9</f>
        <v>2841</v>
      </c>
      <c r="V9" s="524">
        <f>IF(U9=0,0,+T9/U9)</f>
        <v>3.5755015839493138</v>
      </c>
      <c r="W9" s="205">
        <f>$W$8</f>
        <v>6</v>
      </c>
      <c r="X9" s="205">
        <f>+W9*$X$8</f>
        <v>4.1999999999999993</v>
      </c>
      <c r="Y9" s="109">
        <f t="shared" ref="Y9:Y16" si="0">IF(+V9/X9&gt;1,1,+V9/X9)</f>
        <v>0.851309900940313</v>
      </c>
      <c r="Z9" s="71">
        <f>(+Y9*$Z$8/100)</f>
        <v>1.1237290692412132E-2</v>
      </c>
      <c r="AA9" s="94">
        <f>$W$16</f>
        <v>6</v>
      </c>
      <c r="AB9" s="94">
        <f>(AF9/AD9)</f>
        <v>3.5755015839493138</v>
      </c>
      <c r="AC9" s="95">
        <f>AB9/AA9</f>
        <v>0.59591693065821894</v>
      </c>
      <c r="AD9" s="96">
        <f>U9</f>
        <v>2841</v>
      </c>
      <c r="AE9" s="97">
        <f>AD9*AA9</f>
        <v>17046</v>
      </c>
      <c r="AF9" s="96">
        <f>T9</f>
        <v>10158</v>
      </c>
      <c r="AG9" s="97">
        <f>AE9/$AH$4</f>
        <v>1420.5</v>
      </c>
      <c r="AH9" s="97">
        <f>AG9*$AH$5</f>
        <v>14205</v>
      </c>
      <c r="AI9" s="97">
        <f>T9</f>
        <v>10158</v>
      </c>
      <c r="AJ9" s="98">
        <f>AI9/AH9</f>
        <v>0.71510031678986274</v>
      </c>
      <c r="AK9" s="427">
        <f>(AH9-AI9)*-1</f>
        <v>-4047</v>
      </c>
      <c r="AL9" s="181"/>
      <c r="AM9" s="122"/>
      <c r="AN9" s="18"/>
      <c r="AO9" s="6"/>
      <c r="AP9" s="5"/>
      <c r="AQ9" s="57"/>
    </row>
    <row r="10" spans="1:43" s="191" customFormat="1" ht="15" customHeight="1" thickBot="1" x14ac:dyDescent="0.35">
      <c r="A10"/>
      <c r="B10"/>
      <c r="C10" s="64"/>
      <c r="D10" s="65"/>
      <c r="E10" s="66"/>
      <c r="F10" s="105"/>
      <c r="G10" s="19" t="s">
        <v>433</v>
      </c>
      <c r="H10" s="180">
        <f>REMC!DN7</f>
        <v>623</v>
      </c>
      <c r="I10" s="180">
        <f>REMC!DO7</f>
        <v>534</v>
      </c>
      <c r="J10" s="180">
        <f>REMC!DP7</f>
        <v>805</v>
      </c>
      <c r="K10" s="180">
        <f>REMC!DQ7</f>
        <v>742</v>
      </c>
      <c r="L10" s="180">
        <f>REMC!DR7</f>
        <v>904</v>
      </c>
      <c r="M10" s="180">
        <f>REMC!DS7</f>
        <v>706</v>
      </c>
      <c r="N10" s="180">
        <f>REMC!DT7</f>
        <v>973</v>
      </c>
      <c r="O10" s="180">
        <f>REMC!DU7</f>
        <v>980</v>
      </c>
      <c r="P10" s="180">
        <f>REMC!DV7</f>
        <v>750</v>
      </c>
      <c r="Q10" s="180">
        <f>REMC!DW7</f>
        <v>864</v>
      </c>
      <c r="R10" s="180">
        <f>REMC!DX7</f>
        <v>0</v>
      </c>
      <c r="S10" s="180">
        <f>REMC!DY7</f>
        <v>0</v>
      </c>
      <c r="T10" s="521">
        <f t="shared" ref="T10:T16" si="1">SUM(H10:S10)</f>
        <v>7881</v>
      </c>
      <c r="U10" s="563">
        <f>meta10a!N10</f>
        <v>1399</v>
      </c>
      <c r="V10" s="525">
        <f t="shared" ref="V10:V16" si="2">IF(U10=0,0,+T10/U10)</f>
        <v>5.6333095067905647</v>
      </c>
      <c r="W10" s="206">
        <f t="shared" ref="W10:W16" si="3">$W$8</f>
        <v>6</v>
      </c>
      <c r="X10" s="206">
        <f t="shared" ref="X10:X16" si="4">+W10*$X$8</f>
        <v>4.1999999999999993</v>
      </c>
      <c r="Y10" s="112">
        <f t="shared" si="0"/>
        <v>1</v>
      </c>
      <c r="Z10" s="71">
        <f t="shared" ref="Z10:Z16" si="5">(+Y10*$Z$8/100)</f>
        <v>1.32E-2</v>
      </c>
      <c r="AA10" s="94">
        <f t="shared" ref="AA10:AA16" si="6">$W$16</f>
        <v>6</v>
      </c>
      <c r="AB10" s="94">
        <f t="shared" ref="AB10:AB16" si="7">(AF10/AD10)</f>
        <v>5.6333095067905647</v>
      </c>
      <c r="AC10" s="95">
        <f t="shared" ref="AC10:AC16" si="8">AB10/AA10</f>
        <v>0.93888491779842742</v>
      </c>
      <c r="AD10" s="96">
        <f t="shared" ref="AD10:AD16" si="9">U10</f>
        <v>1399</v>
      </c>
      <c r="AE10" s="97">
        <f t="shared" ref="AE10:AE16" si="10">AD10*AA10</f>
        <v>8394</v>
      </c>
      <c r="AF10" s="96">
        <f t="shared" ref="AF10:AF16" si="11">T10</f>
        <v>7881</v>
      </c>
      <c r="AG10" s="97">
        <f t="shared" ref="AG10:AG16" si="12">AE10/$AH$4</f>
        <v>699.5</v>
      </c>
      <c r="AH10" s="97">
        <f t="shared" ref="AH10:AH16" si="13">AG10*$AH$5</f>
        <v>6995</v>
      </c>
      <c r="AI10" s="97">
        <f t="shared" ref="AI10:AI16" si="14">T10</f>
        <v>7881</v>
      </c>
      <c r="AJ10" s="98">
        <f t="shared" ref="AJ10:AJ16" si="15">AI10/AH10</f>
        <v>1.1266619013581129</v>
      </c>
      <c r="AK10" s="427">
        <f t="shared" ref="AK10:AK16" si="16">(AH10-AI10)*-1</f>
        <v>886</v>
      </c>
      <c r="AL10" s="181"/>
      <c r="AM10" s="122"/>
      <c r="AN10" s="18"/>
      <c r="AO10" s="6"/>
      <c r="AP10" s="5"/>
      <c r="AQ10" s="57"/>
    </row>
    <row r="11" spans="1:43" s="191" customFormat="1" ht="15" customHeight="1" thickBot="1" x14ac:dyDescent="0.35">
      <c r="A11"/>
      <c r="B11"/>
      <c r="C11" s="64"/>
      <c r="D11" s="65"/>
      <c r="E11" s="66"/>
      <c r="F11" s="105"/>
      <c r="G11" s="19" t="s">
        <v>434</v>
      </c>
      <c r="H11" s="79">
        <f>REMC!DN8</f>
        <v>583</v>
      </c>
      <c r="I11" s="79">
        <f>REMC!DO8</f>
        <v>305</v>
      </c>
      <c r="J11" s="79">
        <f>REMC!DP8</f>
        <v>474</v>
      </c>
      <c r="K11" s="79">
        <f>REMC!DQ8</f>
        <v>466</v>
      </c>
      <c r="L11" s="79">
        <f>REMC!DR8</f>
        <v>449</v>
      </c>
      <c r="M11" s="79">
        <f>REMC!DS8</f>
        <v>413</v>
      </c>
      <c r="N11" s="79">
        <f>REMC!DT8</f>
        <v>628</v>
      </c>
      <c r="O11" s="79">
        <f>REMC!DU8</f>
        <v>525</v>
      </c>
      <c r="P11" s="79">
        <f>REMC!DV8</f>
        <v>465</v>
      </c>
      <c r="Q11" s="79">
        <f>REMC!DW8</f>
        <v>603</v>
      </c>
      <c r="R11" s="79">
        <f>REMC!DX8</f>
        <v>0</v>
      </c>
      <c r="S11" s="79">
        <f>REMC!DY8</f>
        <v>0</v>
      </c>
      <c r="T11" s="522">
        <f t="shared" si="1"/>
        <v>4911</v>
      </c>
      <c r="U11" s="428">
        <f>meta10a!N11</f>
        <v>1079</v>
      </c>
      <c r="V11" s="525">
        <f t="shared" si="2"/>
        <v>4.5514365152919369</v>
      </c>
      <c r="W11" s="206">
        <f t="shared" si="3"/>
        <v>6</v>
      </c>
      <c r="X11" s="206">
        <f t="shared" si="4"/>
        <v>4.1999999999999993</v>
      </c>
      <c r="Y11" s="112">
        <f t="shared" si="0"/>
        <v>1</v>
      </c>
      <c r="Z11" s="71">
        <f t="shared" si="5"/>
        <v>1.32E-2</v>
      </c>
      <c r="AA11" s="94">
        <f t="shared" si="6"/>
        <v>6</v>
      </c>
      <c r="AB11" s="94">
        <f t="shared" si="7"/>
        <v>4.5514365152919369</v>
      </c>
      <c r="AC11" s="95">
        <f t="shared" si="8"/>
        <v>0.75857275254865619</v>
      </c>
      <c r="AD11" s="96">
        <f t="shared" si="9"/>
        <v>1079</v>
      </c>
      <c r="AE11" s="97">
        <f t="shared" si="10"/>
        <v>6474</v>
      </c>
      <c r="AF11" s="96">
        <f t="shared" si="11"/>
        <v>4911</v>
      </c>
      <c r="AG11" s="97">
        <f t="shared" si="12"/>
        <v>539.5</v>
      </c>
      <c r="AH11" s="97">
        <f t="shared" si="13"/>
        <v>5395</v>
      </c>
      <c r="AI11" s="97">
        <f t="shared" si="14"/>
        <v>4911</v>
      </c>
      <c r="AJ11" s="98">
        <f t="shared" si="15"/>
        <v>0.91028730305838734</v>
      </c>
      <c r="AK11" s="427">
        <f t="shared" si="16"/>
        <v>-484</v>
      </c>
      <c r="AL11" s="181"/>
      <c r="AM11" s="122"/>
      <c r="AN11" s="18"/>
      <c r="AO11" s="6"/>
      <c r="AP11" s="5"/>
      <c r="AQ11" s="57"/>
    </row>
    <row r="12" spans="1:43" s="191" customFormat="1" ht="15" customHeight="1" thickBot="1" x14ac:dyDescent="0.35">
      <c r="A12"/>
      <c r="B12"/>
      <c r="C12" s="64"/>
      <c r="D12" s="65"/>
      <c r="E12" s="66"/>
      <c r="F12" s="105"/>
      <c r="G12" s="19" t="s">
        <v>435</v>
      </c>
      <c r="H12" s="73">
        <f>REMC!DN9</f>
        <v>385</v>
      </c>
      <c r="I12" s="73">
        <f>REMC!DO9</f>
        <v>389</v>
      </c>
      <c r="J12" s="73">
        <f>REMC!DP9</f>
        <v>560</v>
      </c>
      <c r="K12" s="73">
        <f>REMC!DQ9</f>
        <v>575</v>
      </c>
      <c r="L12" s="73">
        <f>REMC!DR9</f>
        <v>459</v>
      </c>
      <c r="M12" s="73">
        <f>REMC!DS9</f>
        <v>521</v>
      </c>
      <c r="N12" s="73">
        <f>REMC!DT9</f>
        <v>718</v>
      </c>
      <c r="O12" s="73">
        <f>REMC!DU9</f>
        <v>801</v>
      </c>
      <c r="P12" s="73">
        <f>REMC!DV9</f>
        <v>605</v>
      </c>
      <c r="Q12" s="73">
        <f>REMC!DW9</f>
        <v>753</v>
      </c>
      <c r="R12" s="73">
        <f>REMC!DX9</f>
        <v>0</v>
      </c>
      <c r="S12" s="73">
        <f>REMC!DY9</f>
        <v>0</v>
      </c>
      <c r="T12" s="523">
        <f t="shared" si="1"/>
        <v>5766</v>
      </c>
      <c r="U12" s="428">
        <f>meta10a!N12</f>
        <v>877</v>
      </c>
      <c r="V12" s="525">
        <f t="shared" si="2"/>
        <v>6.5746864310148236</v>
      </c>
      <c r="W12" s="206">
        <f t="shared" si="3"/>
        <v>6</v>
      </c>
      <c r="X12" s="206">
        <f t="shared" si="4"/>
        <v>4.1999999999999993</v>
      </c>
      <c r="Y12" s="112">
        <f t="shared" si="0"/>
        <v>1</v>
      </c>
      <c r="Z12" s="71">
        <f t="shared" si="5"/>
        <v>1.32E-2</v>
      </c>
      <c r="AA12" s="94">
        <f t="shared" si="6"/>
        <v>6</v>
      </c>
      <c r="AB12" s="94">
        <f t="shared" si="7"/>
        <v>6.5746864310148236</v>
      </c>
      <c r="AC12" s="95">
        <f t="shared" si="8"/>
        <v>1.0957810718358039</v>
      </c>
      <c r="AD12" s="96">
        <f t="shared" si="9"/>
        <v>877</v>
      </c>
      <c r="AE12" s="97">
        <f t="shared" si="10"/>
        <v>5262</v>
      </c>
      <c r="AF12" s="96">
        <f t="shared" si="11"/>
        <v>5766</v>
      </c>
      <c r="AG12" s="97">
        <f t="shared" si="12"/>
        <v>438.5</v>
      </c>
      <c r="AH12" s="97">
        <f t="shared" si="13"/>
        <v>4385</v>
      </c>
      <c r="AI12" s="97">
        <f t="shared" si="14"/>
        <v>5766</v>
      </c>
      <c r="AJ12" s="98">
        <f t="shared" si="15"/>
        <v>1.3149372862029647</v>
      </c>
      <c r="AK12" s="427">
        <f t="shared" si="16"/>
        <v>1381</v>
      </c>
      <c r="AL12" s="181"/>
      <c r="AM12" s="122"/>
      <c r="AN12" s="18"/>
      <c r="AO12" s="6"/>
      <c r="AP12" s="5"/>
      <c r="AQ12" s="57"/>
    </row>
    <row r="13" spans="1:43" s="191" customFormat="1" ht="15" customHeight="1" thickBot="1" x14ac:dyDescent="0.35">
      <c r="A13"/>
      <c r="B13"/>
      <c r="C13" s="64"/>
      <c r="D13" s="65"/>
      <c r="E13" s="66"/>
      <c r="F13" s="105"/>
      <c r="G13" s="19" t="s">
        <v>436</v>
      </c>
      <c r="H13" s="73">
        <f>REMC!DN10</f>
        <v>577</v>
      </c>
      <c r="I13" s="73">
        <f>REMC!DO10</f>
        <v>335</v>
      </c>
      <c r="J13" s="73">
        <f>REMC!DP10</f>
        <v>430</v>
      </c>
      <c r="K13" s="73">
        <f>REMC!DQ10</f>
        <v>565</v>
      </c>
      <c r="L13" s="73">
        <f>REMC!DR10</f>
        <v>520</v>
      </c>
      <c r="M13" s="73">
        <f>REMC!DS10</f>
        <v>545</v>
      </c>
      <c r="N13" s="73">
        <f>REMC!DT10</f>
        <v>606</v>
      </c>
      <c r="O13" s="73">
        <f>REMC!DU10</f>
        <v>703</v>
      </c>
      <c r="P13" s="73">
        <f>REMC!DV10</f>
        <v>635</v>
      </c>
      <c r="Q13" s="73">
        <f>REMC!DW10</f>
        <v>651</v>
      </c>
      <c r="R13" s="73">
        <f>REMC!DX10</f>
        <v>0</v>
      </c>
      <c r="S13" s="73">
        <f>REMC!DY10</f>
        <v>0</v>
      </c>
      <c r="T13" s="523">
        <f t="shared" si="1"/>
        <v>5567</v>
      </c>
      <c r="U13" s="428">
        <f>meta10a!N13</f>
        <v>2285</v>
      </c>
      <c r="V13" s="525">
        <f t="shared" si="2"/>
        <v>2.4363238512035013</v>
      </c>
      <c r="W13" s="206">
        <f t="shared" si="3"/>
        <v>6</v>
      </c>
      <c r="X13" s="206">
        <f t="shared" si="4"/>
        <v>4.1999999999999993</v>
      </c>
      <c r="Y13" s="112">
        <f t="shared" si="0"/>
        <v>0.58007710742940521</v>
      </c>
      <c r="Z13" s="71">
        <f t="shared" si="5"/>
        <v>7.6570178180681491E-3</v>
      </c>
      <c r="AA13" s="94">
        <f t="shared" si="6"/>
        <v>6</v>
      </c>
      <c r="AB13" s="94">
        <f t="shared" si="7"/>
        <v>2.4363238512035013</v>
      </c>
      <c r="AC13" s="95">
        <f t="shared" si="8"/>
        <v>0.40605397520058356</v>
      </c>
      <c r="AD13" s="96">
        <f t="shared" si="9"/>
        <v>2285</v>
      </c>
      <c r="AE13" s="97">
        <f t="shared" si="10"/>
        <v>13710</v>
      </c>
      <c r="AF13" s="96">
        <f t="shared" si="11"/>
        <v>5567</v>
      </c>
      <c r="AG13" s="97">
        <f t="shared" si="12"/>
        <v>1142.5</v>
      </c>
      <c r="AH13" s="97">
        <f t="shared" si="13"/>
        <v>11425</v>
      </c>
      <c r="AI13" s="97">
        <f t="shared" si="14"/>
        <v>5567</v>
      </c>
      <c r="AJ13" s="98">
        <f t="shared" si="15"/>
        <v>0.4872647702407002</v>
      </c>
      <c r="AK13" s="427">
        <f t="shared" si="16"/>
        <v>-5858</v>
      </c>
      <c r="AL13" s="181"/>
      <c r="AM13" s="122"/>
      <c r="AN13" s="18"/>
      <c r="AO13" s="6"/>
      <c r="AP13" s="5"/>
      <c r="AQ13" s="57"/>
    </row>
    <row r="14" spans="1:43" s="191" customFormat="1" ht="15" customHeight="1" thickBot="1" x14ac:dyDescent="0.35">
      <c r="A14"/>
      <c r="B14"/>
      <c r="C14" s="64"/>
      <c r="D14" s="65"/>
      <c r="E14" s="66"/>
      <c r="F14" s="105"/>
      <c r="G14" s="19" t="s">
        <v>437</v>
      </c>
      <c r="H14" s="73">
        <f>REMC!DN11</f>
        <v>23</v>
      </c>
      <c r="I14" s="73">
        <f>REMC!DO11</f>
        <v>8</v>
      </c>
      <c r="J14" s="73">
        <f>REMC!DP11</f>
        <v>26</v>
      </c>
      <c r="K14" s="73">
        <f>REMC!DQ11</f>
        <v>17</v>
      </c>
      <c r="L14" s="73">
        <f>REMC!DR11</f>
        <v>18</v>
      </c>
      <c r="M14" s="73">
        <f>REMC!DS11</f>
        <v>9</v>
      </c>
      <c r="N14" s="73">
        <f>REMC!DT11</f>
        <v>21</v>
      </c>
      <c r="O14" s="73">
        <f>REMC!DU11</f>
        <v>42</v>
      </c>
      <c r="P14" s="73">
        <f>REMC!DV11</f>
        <v>18</v>
      </c>
      <c r="Q14" s="73">
        <f>REMC!DW11</f>
        <v>8</v>
      </c>
      <c r="R14" s="73">
        <f>REMC!DX11</f>
        <v>0</v>
      </c>
      <c r="S14" s="73">
        <f>REMC!DY11</f>
        <v>0</v>
      </c>
      <c r="T14" s="523">
        <f t="shared" si="1"/>
        <v>190</v>
      </c>
      <c r="U14" s="564">
        <f>meta10a!N14</f>
        <v>23</v>
      </c>
      <c r="V14" s="525">
        <f t="shared" si="2"/>
        <v>8.2608695652173907</v>
      </c>
      <c r="W14" s="206">
        <f t="shared" si="3"/>
        <v>6</v>
      </c>
      <c r="X14" s="206">
        <f t="shared" si="4"/>
        <v>4.1999999999999993</v>
      </c>
      <c r="Y14" s="112">
        <f t="shared" si="0"/>
        <v>1</v>
      </c>
      <c r="Z14" s="71">
        <f t="shared" si="5"/>
        <v>1.32E-2</v>
      </c>
      <c r="AA14" s="94">
        <f t="shared" si="6"/>
        <v>6</v>
      </c>
      <c r="AB14" s="94">
        <f t="shared" si="7"/>
        <v>8.2608695652173907</v>
      </c>
      <c r="AC14" s="95">
        <f t="shared" si="8"/>
        <v>1.3768115942028984</v>
      </c>
      <c r="AD14" s="96">
        <f t="shared" si="9"/>
        <v>23</v>
      </c>
      <c r="AE14" s="97">
        <f t="shared" si="10"/>
        <v>138</v>
      </c>
      <c r="AF14" s="96">
        <f t="shared" si="11"/>
        <v>190</v>
      </c>
      <c r="AG14" s="97">
        <f t="shared" si="12"/>
        <v>11.5</v>
      </c>
      <c r="AH14" s="97">
        <f t="shared" si="13"/>
        <v>115</v>
      </c>
      <c r="AI14" s="97">
        <f t="shared" si="14"/>
        <v>190</v>
      </c>
      <c r="AJ14" s="98">
        <f t="shared" si="15"/>
        <v>1.6521739130434783</v>
      </c>
      <c r="AK14" s="427">
        <f t="shared" si="16"/>
        <v>75</v>
      </c>
      <c r="AL14" s="181"/>
      <c r="AM14" s="122"/>
      <c r="AN14" s="18"/>
      <c r="AO14" s="6"/>
      <c r="AP14" s="5"/>
      <c r="AQ14" s="57"/>
    </row>
    <row r="15" spans="1:43" s="191" customFormat="1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113">
        <f>REMC!DN12</f>
        <v>189</v>
      </c>
      <c r="I15" s="113">
        <f>REMC!DO12</f>
        <v>67</v>
      </c>
      <c r="J15" s="113">
        <f>REMC!DP12</f>
        <v>163</v>
      </c>
      <c r="K15" s="113">
        <f>REMC!DQ12</f>
        <v>181</v>
      </c>
      <c r="L15" s="113">
        <f>REMC!DR12</f>
        <v>150</v>
      </c>
      <c r="M15" s="113">
        <f>REMC!DS12</f>
        <v>115</v>
      </c>
      <c r="N15" s="113">
        <f>REMC!DT12</f>
        <v>126</v>
      </c>
      <c r="O15" s="113">
        <f>REMC!DU12</f>
        <v>126</v>
      </c>
      <c r="P15" s="113">
        <f>REMC!DV12</f>
        <v>127</v>
      </c>
      <c r="Q15" s="113">
        <f>REMC!DW12</f>
        <v>170</v>
      </c>
      <c r="R15" s="113">
        <f>REMC!DX12</f>
        <v>0</v>
      </c>
      <c r="S15" s="113">
        <f>REMC!DY12</f>
        <v>0</v>
      </c>
      <c r="T15" s="553">
        <f t="shared" si="1"/>
        <v>1414</v>
      </c>
      <c r="U15" s="564">
        <f>meta10a!N15</f>
        <v>548</v>
      </c>
      <c r="V15" s="525">
        <f t="shared" si="2"/>
        <v>2.5802919708029197</v>
      </c>
      <c r="W15" s="206">
        <f t="shared" si="3"/>
        <v>6</v>
      </c>
      <c r="X15" s="206">
        <f t="shared" si="4"/>
        <v>4.1999999999999993</v>
      </c>
      <c r="Y15" s="115">
        <f t="shared" si="0"/>
        <v>0.61435523114355239</v>
      </c>
      <c r="Z15" s="71">
        <f t="shared" si="5"/>
        <v>8.1094890510948932E-3</v>
      </c>
      <c r="AA15" s="554">
        <f t="shared" si="6"/>
        <v>6</v>
      </c>
      <c r="AB15" s="554">
        <f t="shared" si="7"/>
        <v>2.5802919708029197</v>
      </c>
      <c r="AC15" s="555">
        <f t="shared" si="8"/>
        <v>0.43004866180048662</v>
      </c>
      <c r="AD15" s="96">
        <f t="shared" si="9"/>
        <v>548</v>
      </c>
      <c r="AE15" s="97">
        <f t="shared" si="10"/>
        <v>3288</v>
      </c>
      <c r="AF15" s="96">
        <f t="shared" si="11"/>
        <v>1414</v>
      </c>
      <c r="AG15" s="97">
        <f t="shared" si="12"/>
        <v>274</v>
      </c>
      <c r="AH15" s="97">
        <f t="shared" si="13"/>
        <v>2740</v>
      </c>
      <c r="AI15" s="97">
        <f t="shared" si="14"/>
        <v>1414</v>
      </c>
      <c r="AJ15" s="541">
        <f t="shared" si="15"/>
        <v>0.51605839416058397</v>
      </c>
      <c r="AK15" s="427">
        <f t="shared" si="16"/>
        <v>-1326</v>
      </c>
      <c r="AL15" s="181"/>
      <c r="AM15" s="122"/>
      <c r="AN15" s="18"/>
      <c r="AO15" s="6"/>
      <c r="AP15" s="5"/>
      <c r="AQ15" s="57"/>
    </row>
    <row r="16" spans="1:43" s="191" customFormat="1" ht="15" customHeight="1" thickBot="1" x14ac:dyDescent="0.35">
      <c r="A16"/>
      <c r="B16"/>
      <c r="C16" s="64"/>
      <c r="D16" s="65"/>
      <c r="E16" s="66"/>
      <c r="F16" s="105"/>
      <c r="G16" s="556" t="s">
        <v>15</v>
      </c>
      <c r="H16" s="84">
        <f>SUM(H9:H15)</f>
        <v>3412</v>
      </c>
      <c r="I16" s="84">
        <f t="shared" ref="I16:S16" si="17">SUM(I9:I15)</f>
        <v>2531</v>
      </c>
      <c r="J16" s="84">
        <f t="shared" si="17"/>
        <v>3498</v>
      </c>
      <c r="K16" s="84">
        <f t="shared" si="17"/>
        <v>3518</v>
      </c>
      <c r="L16" s="84">
        <f t="shared" si="17"/>
        <v>3528</v>
      </c>
      <c r="M16" s="84">
        <f t="shared" si="17"/>
        <v>3403</v>
      </c>
      <c r="N16" s="84">
        <f t="shared" si="17"/>
        <v>4158</v>
      </c>
      <c r="O16" s="84">
        <f t="shared" si="17"/>
        <v>4177</v>
      </c>
      <c r="P16" s="84">
        <f t="shared" si="17"/>
        <v>3361</v>
      </c>
      <c r="Q16" s="84">
        <f t="shared" si="17"/>
        <v>4301</v>
      </c>
      <c r="R16" s="84">
        <f t="shared" si="17"/>
        <v>0</v>
      </c>
      <c r="S16" s="84">
        <f t="shared" si="17"/>
        <v>0</v>
      </c>
      <c r="T16" s="557">
        <f t="shared" si="1"/>
        <v>35887</v>
      </c>
      <c r="U16" s="558">
        <f>SUM(U9:U15)</f>
        <v>9052</v>
      </c>
      <c r="V16" s="210">
        <f t="shared" si="2"/>
        <v>3.9645382235969953</v>
      </c>
      <c r="W16" s="559">
        <f t="shared" si="3"/>
        <v>6</v>
      </c>
      <c r="X16" s="559">
        <f t="shared" si="4"/>
        <v>4.1999999999999993</v>
      </c>
      <c r="Y16" s="507">
        <f t="shared" si="0"/>
        <v>0.94393767228499903</v>
      </c>
      <c r="Z16" s="71">
        <f t="shared" si="5"/>
        <v>1.2459977274161989E-2</v>
      </c>
      <c r="AA16" s="560">
        <f t="shared" si="6"/>
        <v>6</v>
      </c>
      <c r="AB16" s="560">
        <f t="shared" si="7"/>
        <v>3.9645382235969953</v>
      </c>
      <c r="AC16" s="561">
        <f t="shared" si="8"/>
        <v>0.66075637059949921</v>
      </c>
      <c r="AD16" s="544">
        <f t="shared" si="9"/>
        <v>9052</v>
      </c>
      <c r="AE16" s="545">
        <f t="shared" si="10"/>
        <v>54312</v>
      </c>
      <c r="AF16" s="544">
        <f t="shared" si="11"/>
        <v>35887</v>
      </c>
      <c r="AG16" s="97">
        <f t="shared" si="12"/>
        <v>4526</v>
      </c>
      <c r="AH16" s="545">
        <f t="shared" si="13"/>
        <v>45260</v>
      </c>
      <c r="AI16" s="545">
        <f t="shared" si="14"/>
        <v>35887</v>
      </c>
      <c r="AJ16" s="546">
        <f t="shared" si="15"/>
        <v>0.79290764471939901</v>
      </c>
      <c r="AK16" s="427">
        <f t="shared" si="16"/>
        <v>-9373</v>
      </c>
      <c r="AL16" s="181"/>
      <c r="AM16" s="122"/>
      <c r="AN16" s="18"/>
      <c r="AO16" s="6"/>
      <c r="AP16" s="5"/>
      <c r="AQ16" s="57"/>
    </row>
    <row r="17" spans="1:43" s="191" customFormat="1" x14ac:dyDescent="0.25">
      <c r="A17" s="5"/>
      <c r="B17" s="5"/>
      <c r="C17" s="5"/>
      <c r="D17" s="5"/>
      <c r="E17" s="6"/>
      <c r="F17" s="102"/>
      <c r="V17" s="189"/>
      <c r="W17" s="208"/>
      <c r="X17" s="209"/>
      <c r="Z17" s="194"/>
      <c r="AA17" s="194"/>
      <c r="AB17" s="194"/>
      <c r="AC17" s="194"/>
      <c r="AD17" s="194"/>
      <c r="AE17" s="194"/>
      <c r="AF17" s="194"/>
      <c r="AG17" s="194"/>
      <c r="AH17" s="207"/>
      <c r="AI17" s="194"/>
      <c r="AJ17" s="57"/>
      <c r="AK17" s="18"/>
      <c r="AL17" s="18"/>
      <c r="AM17" s="57"/>
      <c r="AN17" s="5"/>
      <c r="AO17" s="5"/>
      <c r="AP17" s="5"/>
      <c r="AQ17" s="57"/>
    </row>
    <row r="18" spans="1:43" s="191" customFormat="1" x14ac:dyDescent="0.25">
      <c r="A18" s="5"/>
      <c r="B18" s="5"/>
      <c r="C18" s="5"/>
      <c r="D18" s="5"/>
      <c r="E18" s="6"/>
      <c r="F18" s="102"/>
      <c r="V18" s="189"/>
      <c r="W18" s="208"/>
      <c r="X18" s="209"/>
      <c r="Z18" s="194"/>
      <c r="AA18" s="194"/>
      <c r="AB18" s="194"/>
      <c r="AC18" s="194"/>
      <c r="AD18" s="194"/>
      <c r="AE18" s="194"/>
      <c r="AF18" s="194"/>
      <c r="AG18" s="194"/>
      <c r="AH18" s="207"/>
      <c r="AI18" s="194"/>
      <c r="AJ18" s="57"/>
      <c r="AK18" s="18"/>
      <c r="AL18" s="18"/>
      <c r="AM18" s="57"/>
      <c r="AN18" s="5"/>
      <c r="AO18" s="5"/>
      <c r="AP18" s="5"/>
      <c r="AQ18" s="57"/>
    </row>
    <row r="19" spans="1:43" x14ac:dyDescent="0.25">
      <c r="W19" s="211"/>
    </row>
    <row r="20" spans="1:43" x14ac:dyDescent="0.25">
      <c r="Q20" s="5"/>
      <c r="R20" s="5"/>
      <c r="S20" s="5"/>
      <c r="T20" s="5"/>
    </row>
    <row r="22" spans="1:43" x14ac:dyDescent="0.25">
      <c r="Q22" s="5"/>
      <c r="R22" s="5"/>
      <c r="S22" s="5"/>
      <c r="T22" s="5"/>
    </row>
    <row r="24" spans="1:43" x14ac:dyDescent="0.25">
      <c r="Q24" s="5"/>
      <c r="R24" s="5"/>
      <c r="S24" s="5"/>
      <c r="T24" s="5"/>
    </row>
    <row r="26" spans="1:43" x14ac:dyDescent="0.25">
      <c r="Q26" s="5"/>
      <c r="R26" s="5"/>
      <c r="S26" s="5"/>
      <c r="T26" s="5"/>
      <c r="W26" s="211"/>
    </row>
    <row r="28" spans="1:43" x14ac:dyDescent="0.25">
      <c r="Q28" s="5"/>
      <c r="R28" s="5"/>
      <c r="S28" s="5"/>
      <c r="T28" s="5"/>
    </row>
  </sheetData>
  <autoFilter ref="G6:G16" xr:uid="{00000000-0001-0000-0D00-000000000000}"/>
  <mergeCells count="9">
    <mergeCell ref="G1:Z1"/>
    <mergeCell ref="G2:V2"/>
    <mergeCell ref="W2:Z2"/>
    <mergeCell ref="G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0132-EF1A-4C6E-9B1F-E26B2E5434DB}">
  <sheetPr codeName="Hoja17">
    <tabColor rgb="FF00B050"/>
  </sheetPr>
  <dimension ref="A1:Y35"/>
  <sheetViews>
    <sheetView zoomScale="85" zoomScaleNormal="85" workbookViewId="0">
      <selection activeCell="L25" sqref="L2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1.140625" style="5" customWidth="1"/>
    <col min="8" max="8" width="26.85546875" style="5" customWidth="1"/>
    <col min="9" max="9" width="23.5703125" style="5" customWidth="1"/>
    <col min="10" max="10" width="14.85546875" style="6" customWidth="1"/>
    <col min="11" max="11" width="14.85546875" style="5" customWidth="1"/>
    <col min="12" max="12" width="17.28515625" style="5" customWidth="1"/>
    <col min="13" max="13" width="18.28515625" style="5" customWidth="1"/>
    <col min="14" max="14" width="14" style="5" customWidth="1"/>
    <col min="15" max="15" width="8" style="6" customWidth="1"/>
    <col min="16" max="16" width="11.42578125" style="5" customWidth="1"/>
    <col min="17" max="16384" width="11.42578125" style="5"/>
  </cols>
  <sheetData>
    <row r="1" spans="1:25" s="2" customFormat="1" ht="37.5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3"/>
    </row>
    <row r="2" spans="1:25" s="2" customFormat="1" ht="23.25" customHeight="1" x14ac:dyDescent="0.45">
      <c r="E2" s="3"/>
      <c r="F2" s="100"/>
      <c r="G2" s="903" t="s">
        <v>2</v>
      </c>
      <c r="H2" s="904"/>
      <c r="I2" s="904"/>
      <c r="J2" s="904"/>
      <c r="K2" s="905" t="str">
        <f>+NOMBRE!B7</f>
        <v>ENERO - OCTUBRE 2024</v>
      </c>
      <c r="L2" s="905"/>
      <c r="M2" s="905"/>
      <c r="N2" s="905"/>
      <c r="O2" s="3"/>
    </row>
    <row r="3" spans="1:25" ht="60.75" thickBot="1" x14ac:dyDescent="0.3">
      <c r="O3" s="5"/>
      <c r="R3" s="6"/>
      <c r="U3" s="87" t="s">
        <v>45</v>
      </c>
      <c r="V3" s="88">
        <v>12</v>
      </c>
      <c r="W3" s="6"/>
      <c r="X3" s="6"/>
    </row>
    <row r="4" spans="1:25" ht="15" customHeight="1" x14ac:dyDescent="0.25">
      <c r="G4" s="58"/>
      <c r="H4" s="906" t="s">
        <v>472</v>
      </c>
      <c r="I4" s="907"/>
      <c r="J4" s="907"/>
      <c r="K4" s="907"/>
      <c r="L4" s="907"/>
      <c r="M4" s="907"/>
      <c r="N4" s="908"/>
      <c r="O4" s="5"/>
      <c r="R4" s="6"/>
      <c r="U4" s="87" t="s">
        <v>46</v>
      </c>
      <c r="V4" s="88">
        <f>meta3!AB2</f>
        <v>10</v>
      </c>
      <c r="W4" s="6"/>
    </row>
    <row r="5" spans="1:25" ht="23.25" customHeight="1" thickBot="1" x14ac:dyDescent="0.3">
      <c r="G5" s="58"/>
      <c r="H5" s="1000"/>
      <c r="I5" s="925"/>
      <c r="J5" s="925"/>
      <c r="K5" s="925"/>
      <c r="L5" s="925"/>
      <c r="M5" s="925"/>
      <c r="N5" s="926"/>
      <c r="O5" s="89" t="s">
        <v>47</v>
      </c>
      <c r="P5" s="89" t="s">
        <v>48</v>
      </c>
      <c r="Q5" s="89" t="s">
        <v>49</v>
      </c>
      <c r="R5" s="89" t="s">
        <v>50</v>
      </c>
      <c r="S5" s="89" t="s">
        <v>51</v>
      </c>
      <c r="T5" s="89" t="s">
        <v>52</v>
      </c>
      <c r="U5" s="89" t="s">
        <v>45</v>
      </c>
      <c r="V5" s="89" t="s">
        <v>53</v>
      </c>
      <c r="W5" s="89" t="s">
        <v>54</v>
      </c>
      <c r="X5" s="89" t="s">
        <v>55</v>
      </c>
      <c r="Y5" s="89" t="s">
        <v>56</v>
      </c>
    </row>
    <row r="6" spans="1:25" ht="27.75" customHeight="1" thickBot="1" x14ac:dyDescent="0.3">
      <c r="G6" s="59"/>
      <c r="H6" s="60" t="s">
        <v>4</v>
      </c>
      <c r="I6" s="61" t="s">
        <v>5</v>
      </c>
      <c r="J6" s="912" t="s">
        <v>6</v>
      </c>
      <c r="K6" s="914">
        <f>+NOMBRE!$B$9</f>
        <v>2024</v>
      </c>
      <c r="L6" s="915"/>
      <c r="M6" s="916" t="s">
        <v>7</v>
      </c>
      <c r="N6" s="917"/>
      <c r="O6" s="90" t="s">
        <v>57</v>
      </c>
      <c r="P6" s="90" t="s">
        <v>58</v>
      </c>
      <c r="Q6" s="90" t="s">
        <v>59</v>
      </c>
      <c r="R6" s="91" t="s">
        <v>60</v>
      </c>
      <c r="S6" s="91" t="s">
        <v>61</v>
      </c>
      <c r="T6" s="91" t="s">
        <v>62</v>
      </c>
      <c r="U6" s="91" t="s">
        <v>63</v>
      </c>
      <c r="V6" s="91" t="s">
        <v>64</v>
      </c>
      <c r="W6" s="91" t="s">
        <v>65</v>
      </c>
      <c r="X6" s="92" t="s">
        <v>66</v>
      </c>
      <c r="Y6" s="92" t="s">
        <v>67</v>
      </c>
    </row>
    <row r="7" spans="1:25" ht="79.5" thickBot="1" x14ac:dyDescent="0.3">
      <c r="G7" s="603" t="s">
        <v>431</v>
      </c>
      <c r="H7" s="10" t="s">
        <v>125</v>
      </c>
      <c r="I7" s="11" t="s">
        <v>126</v>
      </c>
      <c r="J7" s="913"/>
      <c r="K7" s="12" t="s">
        <v>11</v>
      </c>
      <c r="L7" s="63" t="s">
        <v>43</v>
      </c>
      <c r="M7" s="14" t="s">
        <v>13</v>
      </c>
      <c r="N7" s="14" t="s">
        <v>82</v>
      </c>
      <c r="O7" s="93" t="s">
        <v>68</v>
      </c>
      <c r="P7" s="93" t="s">
        <v>69</v>
      </c>
      <c r="Q7" s="93" t="s">
        <v>70</v>
      </c>
      <c r="R7" s="93" t="s">
        <v>71</v>
      </c>
      <c r="S7" s="93" t="s">
        <v>72</v>
      </c>
      <c r="T7" s="93" t="s">
        <v>73</v>
      </c>
      <c r="U7" s="93" t="s">
        <v>74</v>
      </c>
      <c r="V7" s="93" t="s">
        <v>75</v>
      </c>
      <c r="W7" s="93" t="s">
        <v>76</v>
      </c>
      <c r="X7" s="93" t="s">
        <v>77</v>
      </c>
      <c r="Y7" s="93" t="s">
        <v>78</v>
      </c>
    </row>
    <row r="8" spans="1:25" ht="15" customHeight="1" x14ac:dyDescent="0.3">
      <c r="A8" s="212"/>
      <c r="B8" s="212"/>
      <c r="C8" s="64"/>
      <c r="D8" s="65"/>
      <c r="E8" s="66"/>
      <c r="F8" s="105"/>
      <c r="G8" s="78" t="s">
        <v>15</v>
      </c>
      <c r="H8" s="38">
        <v>46776</v>
      </c>
      <c r="I8" s="39">
        <v>47074.8</v>
      </c>
      <c r="J8" s="40">
        <f t="shared" ref="J8" si="0">IF(I8=0,0,+H8/I8)</f>
        <v>0.9936526549236534</v>
      </c>
      <c r="K8" s="41">
        <v>0.85</v>
      </c>
      <c r="L8" s="42">
        <f t="shared" ref="L8" si="1">+K8*0.6</f>
        <v>0.51</v>
      </c>
      <c r="M8" s="124">
        <f t="shared" ref="M8" si="2">IF(+J8/L8&gt;1,1,+J8/L8)</f>
        <v>1</v>
      </c>
      <c r="N8" s="77">
        <f t="shared" ref="N8" si="3">+M8*5.21/100</f>
        <v>5.21E-2</v>
      </c>
      <c r="O8" s="144">
        <f>K8</f>
        <v>0.85</v>
      </c>
      <c r="P8" s="144">
        <f>(T8/R8)</f>
        <v>0.9936526549236534</v>
      </c>
      <c r="Q8" s="145">
        <f>P8/O8</f>
        <v>1.1690031234395923</v>
      </c>
      <c r="R8" s="96">
        <f>I8</f>
        <v>47074.8</v>
      </c>
      <c r="S8" s="97">
        <f>R8*O8</f>
        <v>40013.58</v>
      </c>
      <c r="T8" s="96">
        <f>H8</f>
        <v>46776</v>
      </c>
      <c r="U8" s="97">
        <f>S8/$V$3</f>
        <v>3334.4650000000001</v>
      </c>
      <c r="V8" s="97">
        <f>U8*V4</f>
        <v>33344.65</v>
      </c>
      <c r="W8" s="97">
        <f>H8</f>
        <v>46776</v>
      </c>
      <c r="X8" s="98">
        <f>W8/V8</f>
        <v>1.4028037481275106</v>
      </c>
      <c r="Y8" s="99">
        <f>V8-W8</f>
        <v>-13431.349999999999</v>
      </c>
    </row>
    <row r="9" spans="1:25" ht="18" customHeight="1" x14ac:dyDescent="0.25">
      <c r="K9" s="57"/>
      <c r="N9" s="57"/>
      <c r="O9" s="121"/>
    </row>
    <row r="10" spans="1:25" ht="17.25" hidden="1" x14ac:dyDescent="0.3">
      <c r="G10" s="16" t="s">
        <v>16</v>
      </c>
      <c r="H10" s="33">
        <v>15468</v>
      </c>
      <c r="I10" s="34">
        <v>12131.8</v>
      </c>
      <c r="J10" s="35">
        <f>IF(I10=0,0,+H10/I10)</f>
        <v>1.2749962907400387</v>
      </c>
      <c r="K10" s="36">
        <v>0.85</v>
      </c>
      <c r="L10" s="37">
        <f t="shared" ref="L10:L13" si="4">+K10*0.6</f>
        <v>0.51</v>
      </c>
      <c r="M10" s="120">
        <f>IF(+J10/L10&gt;1,1,+J10/L10)</f>
        <v>1</v>
      </c>
      <c r="N10" s="71">
        <f t="shared" ref="N10:N13" si="5">+M10*5.21/100</f>
        <v>5.21E-2</v>
      </c>
      <c r="O10" s="121"/>
      <c r="P10" s="122"/>
    </row>
    <row r="11" spans="1:25" ht="17.25" hidden="1" x14ac:dyDescent="0.3">
      <c r="G11" s="19" t="s">
        <v>17</v>
      </c>
      <c r="H11" s="38">
        <v>6392</v>
      </c>
      <c r="I11" s="39">
        <v>4264.6000000000004</v>
      </c>
      <c r="J11" s="40">
        <f>IF(I11=0,0,+H11/I11)</f>
        <v>1.4988510059560098</v>
      </c>
      <c r="K11" s="41">
        <v>0.85</v>
      </c>
      <c r="L11" s="42">
        <f t="shared" si="4"/>
        <v>0.51</v>
      </c>
      <c r="M11" s="124">
        <f>IF(+J11/L11&gt;1,1,+J11/L11)</f>
        <v>1</v>
      </c>
      <c r="N11" s="77">
        <f t="shared" si="5"/>
        <v>5.21E-2</v>
      </c>
      <c r="O11" s="121"/>
      <c r="P11" s="122"/>
    </row>
    <row r="12" spans="1:25" ht="17.25" hidden="1" x14ac:dyDescent="0.3">
      <c r="G12" s="28" t="s">
        <v>18</v>
      </c>
      <c r="H12" s="52">
        <v>3763</v>
      </c>
      <c r="I12" s="53">
        <v>4265.3999999999996</v>
      </c>
      <c r="J12" s="54">
        <f>IF(I12=0,0,+H12/I12)</f>
        <v>0.88221503258779954</v>
      </c>
      <c r="K12" s="41">
        <v>0.85</v>
      </c>
      <c r="L12" s="42">
        <f t="shared" si="4"/>
        <v>0.51</v>
      </c>
      <c r="M12" s="124">
        <f>IF(+J12/L12&gt;1,1,+J12/L12)</f>
        <v>1</v>
      </c>
      <c r="N12" s="77">
        <f t="shared" si="5"/>
        <v>5.21E-2</v>
      </c>
    </row>
    <row r="13" spans="1:25" ht="18" hidden="1" thickBot="1" x14ac:dyDescent="0.35">
      <c r="G13" s="27" t="s">
        <v>19</v>
      </c>
      <c r="H13" s="47">
        <v>11267</v>
      </c>
      <c r="I13" s="48">
        <v>9240.7999999999993</v>
      </c>
      <c r="J13" s="49">
        <f>IF(I13=0,0,+H13/I13)</f>
        <v>1.2192667301532336</v>
      </c>
      <c r="K13" s="50">
        <v>0.85</v>
      </c>
      <c r="L13" s="51">
        <f t="shared" si="4"/>
        <v>0.51</v>
      </c>
      <c r="M13" s="127">
        <f>IF(+J13/L13&gt;1,1,+J13/L13)</f>
        <v>1</v>
      </c>
      <c r="N13" s="83">
        <f t="shared" si="5"/>
        <v>5.21E-2</v>
      </c>
    </row>
    <row r="14" spans="1:25" ht="5.25" hidden="1" customHeight="1" thickBot="1" x14ac:dyDescent="0.3"/>
    <row r="15" spans="1:25" ht="18" hidden="1" thickBot="1" x14ac:dyDescent="0.35">
      <c r="G15" s="29" t="s">
        <v>20</v>
      </c>
      <c r="H15" s="30">
        <f>SUM(H8:H13)</f>
        <v>83666</v>
      </c>
      <c r="I15" s="213">
        <f>SUM(I8:I13)</f>
        <v>76977.400000000009</v>
      </c>
    </row>
    <row r="24" spans="8:16" x14ac:dyDescent="0.25">
      <c r="N24" s="57"/>
      <c r="O24" s="57"/>
      <c r="P24" s="57"/>
    </row>
    <row r="32" spans="8:16" x14ac:dyDescent="0.25">
      <c r="H32" s="15"/>
      <c r="I32" s="15"/>
    </row>
    <row r="33" spans="8:9" x14ac:dyDescent="0.25">
      <c r="H33" s="15"/>
      <c r="I33" s="15"/>
    </row>
    <row r="34" spans="8:9" x14ac:dyDescent="0.25">
      <c r="H34" s="15"/>
      <c r="I34" s="15"/>
    </row>
    <row r="35" spans="8:9" x14ac:dyDescent="0.25">
      <c r="H35" s="15"/>
      <c r="I35" s="15"/>
    </row>
  </sheetData>
  <autoFilter ref="G4:N8" xr:uid="{00000000-0001-0000-0E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8D2F-0C6A-40D7-BD6E-0587128FC54F}">
  <sheetPr codeName="Hoja18">
    <tabColor rgb="FFFF0000"/>
  </sheetPr>
  <dimension ref="A1:AX17"/>
  <sheetViews>
    <sheetView zoomScale="70" zoomScaleNormal="70" workbookViewId="0">
      <selection activeCell="Q8" sqref="Q8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2.140625" style="5" customWidth="1"/>
    <col min="8" max="20" width="9.7109375" style="5" customWidth="1"/>
    <col min="21" max="22" width="5" style="5" bestFit="1" customWidth="1"/>
    <col min="23" max="23" width="5.42578125" style="5" bestFit="1" customWidth="1"/>
    <col min="24" max="24" width="4.85546875" style="5" bestFit="1" customWidth="1"/>
    <col min="25" max="25" width="5.85546875" style="5" bestFit="1" customWidth="1"/>
    <col min="26" max="26" width="4.7109375" style="5" bestFit="1" customWidth="1"/>
    <col min="27" max="27" width="4" style="5" bestFit="1" customWidth="1"/>
    <col min="28" max="28" width="5.28515625" style="5" bestFit="1" customWidth="1"/>
    <col min="29" max="29" width="5.85546875" style="5" bestFit="1" customWidth="1"/>
    <col min="30" max="30" width="4.85546875" style="5" bestFit="1" customWidth="1"/>
    <col min="31" max="31" width="5.42578125" style="5" bestFit="1" customWidth="1"/>
    <col min="32" max="32" width="4.5703125" style="5" bestFit="1" customWidth="1"/>
    <col min="33" max="33" width="6.42578125" style="5" bestFit="1" customWidth="1"/>
    <col min="34" max="34" width="14.85546875" style="6" customWidth="1"/>
    <col min="35" max="35" width="12.5703125" style="5" customWidth="1"/>
    <col min="36" max="36" width="14.140625" style="5" customWidth="1"/>
    <col min="37" max="37" width="16.42578125" style="5" customWidth="1"/>
    <col min="38" max="38" width="15" style="57" customWidth="1"/>
    <col min="39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0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902"/>
      <c r="AC1" s="902"/>
      <c r="AD1" s="902"/>
      <c r="AE1" s="902"/>
      <c r="AF1" s="902"/>
      <c r="AG1" s="902"/>
      <c r="AH1" s="902"/>
      <c r="AI1" s="902"/>
      <c r="AJ1" s="902"/>
      <c r="AK1" s="902"/>
      <c r="AL1" s="902"/>
      <c r="AM1" s="56"/>
      <c r="AN1" s="56"/>
      <c r="AR1" s="56"/>
      <c r="AT1" s="3"/>
      <c r="AW1" s="3"/>
      <c r="AX1" s="3"/>
    </row>
    <row r="2" spans="1:50" s="2" customFormat="1" ht="28.5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4"/>
      <c r="Y2" s="904"/>
      <c r="Z2" s="904"/>
      <c r="AA2" s="904"/>
      <c r="AB2" s="904"/>
      <c r="AC2" s="904"/>
      <c r="AD2" s="904"/>
      <c r="AE2" s="904"/>
      <c r="AF2" s="904"/>
      <c r="AG2" s="904"/>
      <c r="AH2" s="904"/>
      <c r="AI2" s="905" t="str">
        <f>+NOMBRE!B7</f>
        <v>ENERO - OCTUBRE 2024</v>
      </c>
      <c r="AJ2" s="905"/>
      <c r="AK2" s="905"/>
      <c r="AL2" s="905"/>
      <c r="AM2" s="56"/>
      <c r="AN2" s="56"/>
      <c r="AR2" s="56"/>
      <c r="AT2" s="3"/>
      <c r="AW2" s="3"/>
      <c r="AX2" s="3"/>
    </row>
    <row r="3" spans="1:50" ht="3" customHeight="1" thickBot="1" x14ac:dyDescent="0.3"/>
    <row r="4" spans="1:50" ht="15" customHeight="1" x14ac:dyDescent="0.25">
      <c r="G4" s="58"/>
      <c r="H4" s="924" t="s">
        <v>471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07"/>
      <c r="V4" s="907"/>
      <c r="W4" s="907"/>
      <c r="X4" s="907"/>
      <c r="Y4" s="907"/>
      <c r="Z4" s="907"/>
      <c r="AA4" s="907"/>
      <c r="AB4" s="907"/>
      <c r="AC4" s="907"/>
      <c r="AD4" s="907"/>
      <c r="AE4" s="907"/>
      <c r="AF4" s="907"/>
      <c r="AG4" s="907"/>
      <c r="AH4" s="907"/>
      <c r="AI4" s="907"/>
      <c r="AJ4" s="907"/>
      <c r="AK4" s="907"/>
      <c r="AL4" s="908"/>
      <c r="AM4" s="5"/>
      <c r="AN4" s="5"/>
      <c r="AP4" s="6"/>
      <c r="AR4" s="5"/>
      <c r="AS4" s="87" t="s">
        <v>45</v>
      </c>
      <c r="AT4" s="88">
        <v>12</v>
      </c>
      <c r="AU4" s="6"/>
      <c r="AV4" s="6"/>
      <c r="AW4" s="5"/>
    </row>
    <row r="5" spans="1:50" ht="33" customHeight="1" thickBot="1" x14ac:dyDescent="0.3">
      <c r="G5" s="58"/>
      <c r="H5" s="910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0"/>
      <c r="AB5" s="910"/>
      <c r="AC5" s="910"/>
      <c r="AD5" s="910"/>
      <c r="AE5" s="910"/>
      <c r="AF5" s="910"/>
      <c r="AG5" s="910"/>
      <c r="AH5" s="910"/>
      <c r="AI5" s="910"/>
      <c r="AJ5" s="910"/>
      <c r="AK5" s="910"/>
      <c r="AL5" s="911"/>
      <c r="AM5" s="5"/>
      <c r="AN5" s="5"/>
      <c r="AP5" s="6"/>
      <c r="AR5" s="5"/>
      <c r="AS5" s="87" t="s">
        <v>46</v>
      </c>
      <c r="AT5" s="88">
        <f>meta3!AB2</f>
        <v>10</v>
      </c>
      <c r="AU5" s="6"/>
      <c r="AW5" s="5"/>
    </row>
    <row r="6" spans="1:50" ht="22.5" customHeight="1" thickBot="1" x14ac:dyDescent="0.3">
      <c r="G6" s="58"/>
      <c r="H6" s="934"/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5"/>
      <c r="U6" s="934"/>
      <c r="V6" s="934"/>
      <c r="W6" s="934"/>
      <c r="X6" s="934"/>
      <c r="Y6" s="934"/>
      <c r="Z6" s="934"/>
      <c r="AA6" s="934"/>
      <c r="AB6" s="934"/>
      <c r="AC6" s="934"/>
      <c r="AD6" s="934"/>
      <c r="AE6" s="934"/>
      <c r="AF6" s="934"/>
      <c r="AG6" s="935"/>
      <c r="AH6" s="912" t="s">
        <v>6</v>
      </c>
      <c r="AI6" s="914">
        <f>+NOMBRE!$B$9</f>
        <v>2024</v>
      </c>
      <c r="AJ6" s="915"/>
      <c r="AK6" s="916" t="s">
        <v>7</v>
      </c>
      <c r="AL6" s="917"/>
      <c r="AM6" s="89" t="s">
        <v>47</v>
      </c>
      <c r="AN6" s="89" t="s">
        <v>48</v>
      </c>
      <c r="AO6" s="89" t="s">
        <v>49</v>
      </c>
      <c r="AP6" s="89" t="s">
        <v>50</v>
      </c>
      <c r="AQ6" s="89" t="s">
        <v>51</v>
      </c>
      <c r="AR6" s="89" t="s">
        <v>52</v>
      </c>
      <c r="AS6" s="89" t="s">
        <v>45</v>
      </c>
      <c r="AT6" s="89" t="s">
        <v>53</v>
      </c>
      <c r="AU6" s="89" t="s">
        <v>54</v>
      </c>
      <c r="AV6" s="89" t="s">
        <v>55</v>
      </c>
      <c r="AW6" s="89" t="s">
        <v>56</v>
      </c>
    </row>
    <row r="7" spans="1:50" ht="99.75" thickBot="1" x14ac:dyDescent="0.3">
      <c r="G7" s="603" t="s">
        <v>431</v>
      </c>
      <c r="H7" s="919" t="s">
        <v>439</v>
      </c>
      <c r="I7" s="919"/>
      <c r="J7" s="919"/>
      <c r="K7" s="919"/>
      <c r="L7" s="919"/>
      <c r="M7" s="919"/>
      <c r="N7" s="919"/>
      <c r="O7" s="919"/>
      <c r="P7" s="919"/>
      <c r="Q7" s="919"/>
      <c r="R7" s="919"/>
      <c r="S7" s="919"/>
      <c r="T7" s="920"/>
      <c r="U7" s="919" t="s">
        <v>127</v>
      </c>
      <c r="V7" s="919"/>
      <c r="W7" s="919"/>
      <c r="X7" s="919"/>
      <c r="Y7" s="919"/>
      <c r="Z7" s="919"/>
      <c r="AA7" s="919"/>
      <c r="AB7" s="919"/>
      <c r="AC7" s="919"/>
      <c r="AD7" s="919"/>
      <c r="AE7" s="919"/>
      <c r="AF7" s="919"/>
      <c r="AG7" s="920"/>
      <c r="AH7" s="1001"/>
      <c r="AI7" s="12" t="s">
        <v>11</v>
      </c>
      <c r="AJ7" s="12" t="s">
        <v>12</v>
      </c>
      <c r="AK7" s="14" t="s">
        <v>13</v>
      </c>
      <c r="AL7" s="14" t="s">
        <v>506</v>
      </c>
      <c r="AM7" s="90" t="s">
        <v>57</v>
      </c>
      <c r="AN7" s="90" t="s">
        <v>58</v>
      </c>
      <c r="AO7" s="90" t="s">
        <v>59</v>
      </c>
      <c r="AP7" s="91" t="s">
        <v>60</v>
      </c>
      <c r="AQ7" s="91" t="s">
        <v>61</v>
      </c>
      <c r="AR7" s="91" t="s">
        <v>62</v>
      </c>
      <c r="AS7" s="91" t="s">
        <v>63</v>
      </c>
      <c r="AT7" s="91" t="s">
        <v>64</v>
      </c>
      <c r="AU7" s="91" t="s">
        <v>65</v>
      </c>
      <c r="AV7" s="92" t="s">
        <v>66</v>
      </c>
      <c r="AW7" s="92" t="s">
        <v>67</v>
      </c>
    </row>
    <row r="8" spans="1:50" ht="18" thickBot="1" x14ac:dyDescent="0.3">
      <c r="G8" s="435"/>
      <c r="H8" s="448" t="s">
        <v>189</v>
      </c>
      <c r="I8" s="448" t="s">
        <v>190</v>
      </c>
      <c r="J8" s="448" t="s">
        <v>191</v>
      </c>
      <c r="K8" s="448" t="s">
        <v>192</v>
      </c>
      <c r="L8" s="448" t="s">
        <v>193</v>
      </c>
      <c r="M8" s="448" t="s">
        <v>194</v>
      </c>
      <c r="N8" s="448" t="s">
        <v>195</v>
      </c>
      <c r="O8" s="448" t="s">
        <v>196</v>
      </c>
      <c r="P8" s="448" t="s">
        <v>423</v>
      </c>
      <c r="Q8" s="448" t="s">
        <v>198</v>
      </c>
      <c r="R8" s="448" t="s">
        <v>199</v>
      </c>
      <c r="S8" s="448" t="s">
        <v>200</v>
      </c>
      <c r="T8" s="449" t="s">
        <v>201</v>
      </c>
      <c r="U8" s="448" t="s">
        <v>189</v>
      </c>
      <c r="V8" s="448" t="s">
        <v>190</v>
      </c>
      <c r="W8" s="448" t="s">
        <v>191</v>
      </c>
      <c r="X8" s="448" t="s">
        <v>192</v>
      </c>
      <c r="Y8" s="448" t="s">
        <v>193</v>
      </c>
      <c r="Z8" s="448" t="s">
        <v>194</v>
      </c>
      <c r="AA8" s="448" t="s">
        <v>195</v>
      </c>
      <c r="AB8" s="448" t="s">
        <v>196</v>
      </c>
      <c r="AC8" s="448" t="s">
        <v>423</v>
      </c>
      <c r="AD8" s="448" t="s">
        <v>198</v>
      </c>
      <c r="AE8" s="448" t="s">
        <v>199</v>
      </c>
      <c r="AF8" s="448" t="s">
        <v>200</v>
      </c>
      <c r="AG8" s="449" t="s">
        <v>201</v>
      </c>
      <c r="AH8" s="645"/>
      <c r="AI8" s="649">
        <f>indicadores!E35</f>
        <v>0.90710000000000002</v>
      </c>
      <c r="AJ8" s="440">
        <v>1</v>
      </c>
      <c r="AK8" s="118"/>
      <c r="AL8" s="439">
        <v>6.59</v>
      </c>
      <c r="AM8" s="93" t="s">
        <v>68</v>
      </c>
      <c r="AN8" s="93" t="s">
        <v>69</v>
      </c>
      <c r="AO8" s="93" t="s">
        <v>70</v>
      </c>
      <c r="AP8" s="93" t="s">
        <v>71</v>
      </c>
      <c r="AQ8" s="93" t="s">
        <v>72</v>
      </c>
      <c r="AR8" s="93" t="s">
        <v>73</v>
      </c>
      <c r="AS8" s="93" t="s">
        <v>74</v>
      </c>
      <c r="AT8" s="93" t="s">
        <v>75</v>
      </c>
      <c r="AU8" s="93" t="s">
        <v>76</v>
      </c>
      <c r="AV8" s="93" t="s">
        <v>77</v>
      </c>
      <c r="AW8" s="93" t="s">
        <v>78</v>
      </c>
    </row>
    <row r="9" spans="1:50" ht="15" customHeight="1" thickBot="1" x14ac:dyDescent="0.35">
      <c r="A9"/>
      <c r="B9"/>
      <c r="C9" s="64"/>
      <c r="D9" s="65"/>
      <c r="E9" s="66"/>
      <c r="F9" s="105"/>
      <c r="G9" s="19" t="s">
        <v>432</v>
      </c>
      <c r="H9" s="33">
        <f>REMA!AZ6</f>
        <v>15</v>
      </c>
      <c r="I9" s="33">
        <f>REMA!BA6</f>
        <v>28</v>
      </c>
      <c r="J9" s="33">
        <f>REMA!BB6</f>
        <v>18</v>
      </c>
      <c r="K9" s="33">
        <f>REMA!BC6</f>
        <v>25</v>
      </c>
      <c r="L9" s="33">
        <f>REMA!BD6</f>
        <v>19</v>
      </c>
      <c r="M9" s="33">
        <f>REMA!BE6</f>
        <v>18</v>
      </c>
      <c r="N9" s="33">
        <f>REMA!BF6</f>
        <v>19</v>
      </c>
      <c r="O9" s="33">
        <f>REMA!BG6</f>
        <v>12</v>
      </c>
      <c r="P9" s="33">
        <f>REMA!BH6</f>
        <v>27</v>
      </c>
      <c r="Q9" s="33">
        <f>REMA!BI6</f>
        <v>19</v>
      </c>
      <c r="R9" s="33">
        <f>REMA!BJ6</f>
        <v>0</v>
      </c>
      <c r="S9" s="33">
        <f>REMA!BK6</f>
        <v>0</v>
      </c>
      <c r="T9" s="526">
        <f>SUM(H9:S9)</f>
        <v>200</v>
      </c>
      <c r="U9" s="33">
        <f>REMA!BN6</f>
        <v>17</v>
      </c>
      <c r="V9" s="33">
        <f>REMA!BO6</f>
        <v>29</v>
      </c>
      <c r="W9" s="33">
        <f>REMA!BP6</f>
        <v>18</v>
      </c>
      <c r="X9" s="33">
        <f>REMA!BQ6</f>
        <v>26</v>
      </c>
      <c r="Y9" s="33">
        <f>REMA!BR6</f>
        <v>20</v>
      </c>
      <c r="Z9" s="33">
        <f>REMA!BS6</f>
        <v>19</v>
      </c>
      <c r="AA9" s="33">
        <f>REMA!BT6</f>
        <v>19</v>
      </c>
      <c r="AB9" s="33">
        <f>REMA!BU6</f>
        <v>14</v>
      </c>
      <c r="AC9" s="33">
        <f>REMA!BV6</f>
        <v>28</v>
      </c>
      <c r="AD9" s="33">
        <f>REMA!BW6</f>
        <v>22</v>
      </c>
      <c r="AE9" s="33">
        <f>REMA!BX6</f>
        <v>0</v>
      </c>
      <c r="AF9" s="33">
        <f>REMA!BY6</f>
        <v>0</v>
      </c>
      <c r="AG9" s="547">
        <f>SUM(U9:AF9)</f>
        <v>212</v>
      </c>
      <c r="AH9" s="45">
        <f t="shared" ref="AH9:AH16" si="0">IF(AG9=0,0,+T9/AG9)</f>
        <v>0.94339622641509435</v>
      </c>
      <c r="AI9" s="37">
        <f>AI8</f>
        <v>0.90710000000000002</v>
      </c>
      <c r="AJ9" s="37">
        <f>+AI9*$AJ$8</f>
        <v>0.90710000000000002</v>
      </c>
      <c r="AK9" s="109">
        <f t="shared" ref="AK9:AK16" si="1">IF(+AH9/AJ9&gt;1,1,+AH9/AJ9)</f>
        <v>1</v>
      </c>
      <c r="AL9" s="71">
        <f>+AK9*$AL$8/100</f>
        <v>6.59E-2</v>
      </c>
      <c r="AM9" s="144">
        <f>$AI$9</f>
        <v>0.90710000000000002</v>
      </c>
      <c r="AN9" s="144">
        <f>(AR9/AP9)</f>
        <v>0.94339622641509435</v>
      </c>
      <c r="AO9" s="145">
        <f>AN9/AM9</f>
        <v>1.0400134785746824</v>
      </c>
      <c r="AP9" s="96">
        <f>AG9</f>
        <v>212</v>
      </c>
      <c r="AQ9" s="97">
        <f>AP9*AM9</f>
        <v>192.30520000000001</v>
      </c>
      <c r="AR9" s="96">
        <f t="shared" ref="AR9:AR16" si="2">T9</f>
        <v>200</v>
      </c>
      <c r="AS9" s="97">
        <f>AQ9/$AT$4</f>
        <v>16.025433333333336</v>
      </c>
      <c r="AT9" s="97">
        <f>AS9*$AT$5</f>
        <v>160.25433333333336</v>
      </c>
      <c r="AU9" s="97">
        <f t="shared" ref="AU9:AU16" si="3">T9</f>
        <v>200</v>
      </c>
      <c r="AV9" s="98">
        <f>AU9/AT9</f>
        <v>1.2480161742896185</v>
      </c>
      <c r="AW9" s="427">
        <f>(AT9-AU9)*-1</f>
        <v>39.745666666666637</v>
      </c>
    </row>
    <row r="10" spans="1:50" ht="15" customHeight="1" thickBot="1" x14ac:dyDescent="0.35">
      <c r="A10"/>
      <c r="B10"/>
      <c r="C10" s="64"/>
      <c r="D10" s="65"/>
      <c r="E10" s="66"/>
      <c r="F10" s="105"/>
      <c r="G10" s="19" t="s">
        <v>433</v>
      </c>
      <c r="H10" s="38">
        <f>REMA!AZ7</f>
        <v>21</v>
      </c>
      <c r="I10" s="38">
        <f>REMA!BA7</f>
        <v>10</v>
      </c>
      <c r="J10" s="38">
        <f>REMA!BB7</f>
        <v>18</v>
      </c>
      <c r="K10" s="38">
        <f>REMA!BC7</f>
        <v>13</v>
      </c>
      <c r="L10" s="38">
        <f>REMA!BD7</f>
        <v>9</v>
      </c>
      <c r="M10" s="38">
        <f>REMA!BE7</f>
        <v>18</v>
      </c>
      <c r="N10" s="38">
        <f>REMA!BF7</f>
        <v>21</v>
      </c>
      <c r="O10" s="38">
        <f>REMA!BG7</f>
        <v>15</v>
      </c>
      <c r="P10" s="38">
        <f>REMA!BH7</f>
        <v>14</v>
      </c>
      <c r="Q10" s="38">
        <f>REMA!BI7</f>
        <v>17</v>
      </c>
      <c r="R10" s="38">
        <f>REMA!BJ7</f>
        <v>0</v>
      </c>
      <c r="S10" s="38">
        <f>REMA!BK7</f>
        <v>0</v>
      </c>
      <c r="T10" s="527">
        <f t="shared" ref="T10:T15" si="4">SUM(H10:S10)</f>
        <v>156</v>
      </c>
      <c r="U10" s="38">
        <f>REMA!BN7</f>
        <v>21</v>
      </c>
      <c r="V10" s="38">
        <f>REMA!BO7</f>
        <v>12</v>
      </c>
      <c r="W10" s="38">
        <f>REMA!BP7</f>
        <v>18</v>
      </c>
      <c r="X10" s="38">
        <f>REMA!BQ7</f>
        <v>15</v>
      </c>
      <c r="Y10" s="38">
        <f>REMA!BR7</f>
        <v>13</v>
      </c>
      <c r="Z10" s="38">
        <f>REMA!BS7</f>
        <v>19</v>
      </c>
      <c r="AA10" s="38">
        <f>REMA!BT7</f>
        <v>22</v>
      </c>
      <c r="AB10" s="38">
        <f>REMA!BU7</f>
        <v>16</v>
      </c>
      <c r="AC10" s="38">
        <f>REMA!BV7</f>
        <v>14</v>
      </c>
      <c r="AD10" s="38">
        <f>REMA!BW7</f>
        <v>17</v>
      </c>
      <c r="AE10" s="38">
        <f>REMA!BX7</f>
        <v>0</v>
      </c>
      <c r="AF10" s="38">
        <f>REMA!BY7</f>
        <v>0</v>
      </c>
      <c r="AG10" s="548">
        <f t="shared" ref="AG10:AG15" si="5">SUM(U10:AF10)</f>
        <v>167</v>
      </c>
      <c r="AH10" s="40">
        <f t="shared" si="0"/>
        <v>0.93413173652694614</v>
      </c>
      <c r="AI10" s="42">
        <f t="shared" ref="AI10:AI16" si="6">AI9</f>
        <v>0.90710000000000002</v>
      </c>
      <c r="AJ10" s="42">
        <f t="shared" ref="AJ10:AJ16" si="7">+AI10*$AJ$8</f>
        <v>0.90710000000000002</v>
      </c>
      <c r="AK10" s="112">
        <f t="shared" si="1"/>
        <v>1</v>
      </c>
      <c r="AL10" s="71">
        <f t="shared" ref="AL10:AL16" si="8">+AK10*$AL$8/100</f>
        <v>6.59E-2</v>
      </c>
      <c r="AM10" s="144">
        <f t="shared" ref="AM10:AM16" si="9">$AI$9</f>
        <v>0.90710000000000002</v>
      </c>
      <c r="AN10" s="144">
        <f t="shared" ref="AN10:AN16" si="10">(AR10/AP10)</f>
        <v>0.93413173652694614</v>
      </c>
      <c r="AO10" s="145">
        <f t="shared" ref="AO10:AO16" si="11">AN10/AM10</f>
        <v>1.0298001725575419</v>
      </c>
      <c r="AP10" s="96">
        <f t="shared" ref="AP10:AP16" si="12">AG10</f>
        <v>167</v>
      </c>
      <c r="AQ10" s="97">
        <f t="shared" ref="AQ10:AQ16" si="13">AP10*AM10</f>
        <v>151.48570000000001</v>
      </c>
      <c r="AR10" s="96">
        <f t="shared" si="2"/>
        <v>156</v>
      </c>
      <c r="AS10" s="97">
        <f t="shared" ref="AS10:AS16" si="14">AQ10/$AT$4</f>
        <v>12.623808333333335</v>
      </c>
      <c r="AT10" s="97">
        <f t="shared" ref="AT10:AT16" si="15">AS10*$AT$5</f>
        <v>126.23808333333335</v>
      </c>
      <c r="AU10" s="97">
        <f t="shared" si="3"/>
        <v>156</v>
      </c>
      <c r="AV10" s="98">
        <f t="shared" ref="AV10:AV16" si="16">AU10/AT10</f>
        <v>1.2357602070690499</v>
      </c>
      <c r="AW10" s="427">
        <f t="shared" ref="AW10:AW16" si="17">(AT10-AU10)*-1</f>
        <v>29.76191666666665</v>
      </c>
    </row>
    <row r="11" spans="1:50" ht="15" customHeight="1" thickBot="1" x14ac:dyDescent="0.35">
      <c r="A11"/>
      <c r="B11"/>
      <c r="C11" s="64"/>
      <c r="D11" s="65"/>
      <c r="E11" s="66"/>
      <c r="F11" s="105"/>
      <c r="G11" s="19" t="s">
        <v>434</v>
      </c>
      <c r="H11" s="38">
        <f>REMA!AZ8</f>
        <v>21</v>
      </c>
      <c r="I11" s="38">
        <f>REMA!BA8</f>
        <v>13</v>
      </c>
      <c r="J11" s="38">
        <f>REMA!BB8</f>
        <v>16</v>
      </c>
      <c r="K11" s="38">
        <f>REMA!BC8</f>
        <v>7</v>
      </c>
      <c r="L11" s="38">
        <f>REMA!BD8</f>
        <v>9</v>
      </c>
      <c r="M11" s="38">
        <f>REMA!BE8</f>
        <v>13</v>
      </c>
      <c r="N11" s="38">
        <f>REMA!BF8</f>
        <v>8</v>
      </c>
      <c r="O11" s="38">
        <f>REMA!BG8</f>
        <v>11</v>
      </c>
      <c r="P11" s="38">
        <f>REMA!BH8</f>
        <v>7</v>
      </c>
      <c r="Q11" s="38">
        <f>REMA!BI8</f>
        <v>9</v>
      </c>
      <c r="R11" s="38">
        <f>REMA!BJ8</f>
        <v>0</v>
      </c>
      <c r="S11" s="38">
        <f>REMA!BK8</f>
        <v>0</v>
      </c>
      <c r="T11" s="527">
        <f t="shared" si="4"/>
        <v>114</v>
      </c>
      <c r="U11" s="38">
        <f>REMA!BN8</f>
        <v>22</v>
      </c>
      <c r="V11" s="38">
        <f>REMA!BO8</f>
        <v>16</v>
      </c>
      <c r="W11" s="38">
        <f>REMA!BP8</f>
        <v>20</v>
      </c>
      <c r="X11" s="38">
        <f>REMA!BQ8</f>
        <v>11</v>
      </c>
      <c r="Y11" s="38">
        <f>REMA!BR8</f>
        <v>9</v>
      </c>
      <c r="Z11" s="38">
        <f>REMA!BS8</f>
        <v>14</v>
      </c>
      <c r="AA11" s="38">
        <f>REMA!BT8</f>
        <v>9</v>
      </c>
      <c r="AB11" s="38">
        <f>REMA!BU8</f>
        <v>11</v>
      </c>
      <c r="AC11" s="38">
        <f>REMA!BV8</f>
        <v>7</v>
      </c>
      <c r="AD11" s="38">
        <f>REMA!BW8</f>
        <v>9</v>
      </c>
      <c r="AE11" s="38">
        <f>REMA!BX8</f>
        <v>0</v>
      </c>
      <c r="AF11" s="38">
        <f>REMA!BY8</f>
        <v>0</v>
      </c>
      <c r="AG11" s="548">
        <f t="shared" si="5"/>
        <v>128</v>
      </c>
      <c r="AH11" s="40">
        <f t="shared" si="0"/>
        <v>0.890625</v>
      </c>
      <c r="AI11" s="42">
        <f t="shared" si="6"/>
        <v>0.90710000000000002</v>
      </c>
      <c r="AJ11" s="42">
        <f t="shared" si="7"/>
        <v>0.90710000000000002</v>
      </c>
      <c r="AK11" s="112">
        <f t="shared" si="1"/>
        <v>0.98183772461691099</v>
      </c>
      <c r="AL11" s="71">
        <f t="shared" si="8"/>
        <v>6.4703106052254433E-2</v>
      </c>
      <c r="AM11" s="144">
        <f t="shared" si="9"/>
        <v>0.90710000000000002</v>
      </c>
      <c r="AN11" s="144">
        <f t="shared" si="10"/>
        <v>0.890625</v>
      </c>
      <c r="AO11" s="145">
        <f t="shared" si="11"/>
        <v>0.98183772461691099</v>
      </c>
      <c r="AP11" s="96">
        <f t="shared" si="12"/>
        <v>128</v>
      </c>
      <c r="AQ11" s="97">
        <f t="shared" si="13"/>
        <v>116.1088</v>
      </c>
      <c r="AR11" s="96">
        <f t="shared" si="2"/>
        <v>114</v>
      </c>
      <c r="AS11" s="97">
        <f t="shared" si="14"/>
        <v>9.6757333333333335</v>
      </c>
      <c r="AT11" s="97">
        <f t="shared" si="15"/>
        <v>96.757333333333335</v>
      </c>
      <c r="AU11" s="97">
        <f t="shared" si="3"/>
        <v>114</v>
      </c>
      <c r="AV11" s="98">
        <f t="shared" si="16"/>
        <v>1.1782052695402931</v>
      </c>
      <c r="AW11" s="427">
        <f t="shared" si="17"/>
        <v>17.242666666666665</v>
      </c>
    </row>
    <row r="12" spans="1:50" ht="15" customHeight="1" thickBot="1" x14ac:dyDescent="0.35">
      <c r="A12"/>
      <c r="B12"/>
      <c r="C12" s="64"/>
      <c r="D12" s="65"/>
      <c r="E12" s="66"/>
      <c r="F12" s="105"/>
      <c r="G12" s="19" t="s">
        <v>435</v>
      </c>
      <c r="H12" s="38">
        <f>REMA!AZ9</f>
        <v>19</v>
      </c>
      <c r="I12" s="38">
        <f>REMA!BA9</f>
        <v>11</v>
      </c>
      <c r="J12" s="38">
        <f>REMA!BB9</f>
        <v>11</v>
      </c>
      <c r="K12" s="38">
        <f>REMA!BC9</f>
        <v>16</v>
      </c>
      <c r="L12" s="38">
        <f>REMA!BD9</f>
        <v>9</v>
      </c>
      <c r="M12" s="38">
        <f>REMA!BE9</f>
        <v>12</v>
      </c>
      <c r="N12" s="38">
        <f>REMA!BF9</f>
        <v>11</v>
      </c>
      <c r="O12" s="38">
        <f>REMA!BG9</f>
        <v>8</v>
      </c>
      <c r="P12" s="38">
        <f>REMA!BH9</f>
        <v>10</v>
      </c>
      <c r="Q12" s="38">
        <f>REMA!BI9</f>
        <v>20</v>
      </c>
      <c r="R12" s="38">
        <f>REMA!BJ9</f>
        <v>0</v>
      </c>
      <c r="S12" s="38">
        <f>REMA!BK9</f>
        <v>0</v>
      </c>
      <c r="T12" s="527">
        <f t="shared" si="4"/>
        <v>127</v>
      </c>
      <c r="U12" s="38">
        <f>REMA!BN9</f>
        <v>24</v>
      </c>
      <c r="V12" s="38">
        <f>REMA!BO9</f>
        <v>11</v>
      </c>
      <c r="W12" s="38">
        <f>REMA!BP9</f>
        <v>14</v>
      </c>
      <c r="X12" s="38">
        <f>REMA!BQ9</f>
        <v>16</v>
      </c>
      <c r="Y12" s="38">
        <f>REMA!BR9</f>
        <v>9</v>
      </c>
      <c r="Z12" s="38">
        <f>REMA!BS9</f>
        <v>12</v>
      </c>
      <c r="AA12" s="38">
        <f>REMA!BT9</f>
        <v>11</v>
      </c>
      <c r="AB12" s="38">
        <f>REMA!BU9</f>
        <v>8</v>
      </c>
      <c r="AC12" s="38">
        <f>REMA!BV9</f>
        <v>10</v>
      </c>
      <c r="AD12" s="38">
        <f>REMA!BW9</f>
        <v>20</v>
      </c>
      <c r="AE12" s="38">
        <f>REMA!BX9</f>
        <v>0</v>
      </c>
      <c r="AF12" s="38">
        <f>REMA!BY9</f>
        <v>0</v>
      </c>
      <c r="AG12" s="548">
        <f t="shared" si="5"/>
        <v>135</v>
      </c>
      <c r="AH12" s="40">
        <f t="shared" si="0"/>
        <v>0.94074074074074077</v>
      </c>
      <c r="AI12" s="42">
        <f t="shared" si="6"/>
        <v>0.90710000000000002</v>
      </c>
      <c r="AJ12" s="42">
        <f t="shared" si="7"/>
        <v>0.90710000000000002</v>
      </c>
      <c r="AK12" s="112">
        <f t="shared" si="1"/>
        <v>1</v>
      </c>
      <c r="AL12" s="71">
        <f t="shared" si="8"/>
        <v>6.59E-2</v>
      </c>
      <c r="AM12" s="144">
        <f t="shared" si="9"/>
        <v>0.90710000000000002</v>
      </c>
      <c r="AN12" s="144">
        <f t="shared" si="10"/>
        <v>0.94074074074074077</v>
      </c>
      <c r="AO12" s="145">
        <f t="shared" si="11"/>
        <v>1.0370860332275833</v>
      </c>
      <c r="AP12" s="96">
        <f t="shared" si="12"/>
        <v>135</v>
      </c>
      <c r="AQ12" s="97">
        <f t="shared" si="13"/>
        <v>122.4585</v>
      </c>
      <c r="AR12" s="96">
        <f t="shared" si="2"/>
        <v>127</v>
      </c>
      <c r="AS12" s="97">
        <f t="shared" si="14"/>
        <v>10.204874999999999</v>
      </c>
      <c r="AT12" s="97">
        <f t="shared" si="15"/>
        <v>102.04875</v>
      </c>
      <c r="AU12" s="97">
        <f t="shared" si="3"/>
        <v>127</v>
      </c>
      <c r="AV12" s="98">
        <f t="shared" si="16"/>
        <v>1.2445032398731</v>
      </c>
      <c r="AW12" s="427">
        <f t="shared" si="17"/>
        <v>24.951250000000002</v>
      </c>
    </row>
    <row r="13" spans="1:50" ht="15" customHeight="1" thickBot="1" x14ac:dyDescent="0.35">
      <c r="A13"/>
      <c r="B13"/>
      <c r="C13" s="64"/>
      <c r="D13" s="65"/>
      <c r="E13" s="66"/>
      <c r="F13" s="105"/>
      <c r="G13" s="19" t="s">
        <v>436</v>
      </c>
      <c r="H13" s="38">
        <f>REMA!AZ10</f>
        <v>16</v>
      </c>
      <c r="I13" s="38">
        <f>REMA!BA10</f>
        <v>17</v>
      </c>
      <c r="J13" s="38">
        <f>REMA!BB10</f>
        <v>11</v>
      </c>
      <c r="K13" s="38">
        <f>REMA!BC10</f>
        <v>5</v>
      </c>
      <c r="L13" s="38">
        <f>REMA!BD10</f>
        <v>6</v>
      </c>
      <c r="M13" s="38">
        <f>REMA!BE10</f>
        <v>14</v>
      </c>
      <c r="N13" s="38">
        <f>REMA!BF10</f>
        <v>8</v>
      </c>
      <c r="O13" s="38">
        <f>REMA!BG10</f>
        <v>20</v>
      </c>
      <c r="P13" s="38">
        <f>REMA!BH10</f>
        <v>13</v>
      </c>
      <c r="Q13" s="38">
        <f>REMA!BI10</f>
        <v>17</v>
      </c>
      <c r="R13" s="38">
        <f>REMA!BJ10</f>
        <v>0</v>
      </c>
      <c r="S13" s="38">
        <f>REMA!BK10</f>
        <v>0</v>
      </c>
      <c r="T13" s="527">
        <f t="shared" si="4"/>
        <v>127</v>
      </c>
      <c r="U13" s="38">
        <f>REMA!BN10</f>
        <v>16</v>
      </c>
      <c r="V13" s="38">
        <f>REMA!BO10</f>
        <v>17</v>
      </c>
      <c r="W13" s="38">
        <f>REMA!BP10</f>
        <v>12</v>
      </c>
      <c r="X13" s="38">
        <f>REMA!BQ10</f>
        <v>8</v>
      </c>
      <c r="Y13" s="38">
        <f>REMA!BR10</f>
        <v>12</v>
      </c>
      <c r="Z13" s="38">
        <f>REMA!BS10</f>
        <v>16</v>
      </c>
      <c r="AA13" s="38">
        <f>REMA!BT10</f>
        <v>10</v>
      </c>
      <c r="AB13" s="38">
        <f>REMA!BU10</f>
        <v>20</v>
      </c>
      <c r="AC13" s="38">
        <f>REMA!BV10</f>
        <v>16</v>
      </c>
      <c r="AD13" s="38">
        <f>REMA!BW10</f>
        <v>18</v>
      </c>
      <c r="AE13" s="38">
        <f>REMA!BX10</f>
        <v>0</v>
      </c>
      <c r="AF13" s="38">
        <f>REMA!BY10</f>
        <v>0</v>
      </c>
      <c r="AG13" s="548">
        <f t="shared" si="5"/>
        <v>145</v>
      </c>
      <c r="AH13" s="40">
        <f t="shared" si="0"/>
        <v>0.87586206896551722</v>
      </c>
      <c r="AI13" s="42">
        <f t="shared" si="6"/>
        <v>0.90710000000000002</v>
      </c>
      <c r="AJ13" s="42">
        <f t="shared" si="7"/>
        <v>0.90710000000000002</v>
      </c>
      <c r="AK13" s="112">
        <f t="shared" si="1"/>
        <v>0.96556285852223256</v>
      </c>
      <c r="AL13" s="71">
        <f t="shared" si="8"/>
        <v>6.3630592376615128E-2</v>
      </c>
      <c r="AM13" s="144">
        <f t="shared" si="9"/>
        <v>0.90710000000000002</v>
      </c>
      <c r="AN13" s="144">
        <f t="shared" si="10"/>
        <v>0.87586206896551722</v>
      </c>
      <c r="AO13" s="145">
        <f t="shared" si="11"/>
        <v>0.96556285852223256</v>
      </c>
      <c r="AP13" s="96">
        <f t="shared" si="12"/>
        <v>145</v>
      </c>
      <c r="AQ13" s="97">
        <f t="shared" si="13"/>
        <v>131.52950000000001</v>
      </c>
      <c r="AR13" s="96">
        <f t="shared" si="2"/>
        <v>127</v>
      </c>
      <c r="AS13" s="97">
        <f t="shared" si="14"/>
        <v>10.960791666666667</v>
      </c>
      <c r="AT13" s="97">
        <f t="shared" si="15"/>
        <v>109.60791666666667</v>
      </c>
      <c r="AU13" s="97">
        <f t="shared" si="3"/>
        <v>127</v>
      </c>
      <c r="AV13" s="98">
        <f t="shared" si="16"/>
        <v>1.1586754302266791</v>
      </c>
      <c r="AW13" s="427">
        <f t="shared" si="17"/>
        <v>17.392083333333332</v>
      </c>
    </row>
    <row r="14" spans="1:50" ht="15" customHeight="1" thickBot="1" x14ac:dyDescent="0.35">
      <c r="A14"/>
      <c r="B14"/>
      <c r="C14" s="64"/>
      <c r="D14" s="65"/>
      <c r="E14" s="66"/>
      <c r="F14" s="105"/>
      <c r="G14" s="19" t="s">
        <v>437</v>
      </c>
      <c r="H14" s="38">
        <f>REMA!AZ11</f>
        <v>0</v>
      </c>
      <c r="I14" s="38">
        <f>REMA!BA11</f>
        <v>1</v>
      </c>
      <c r="J14" s="38">
        <f>REMA!BB11</f>
        <v>0</v>
      </c>
      <c r="K14" s="38">
        <f>REMA!BC11</f>
        <v>0</v>
      </c>
      <c r="L14" s="38">
        <f>REMA!BD11</f>
        <v>0</v>
      </c>
      <c r="M14" s="38">
        <f>REMA!BE11</f>
        <v>0</v>
      </c>
      <c r="N14" s="38">
        <f>REMA!BF11</f>
        <v>0</v>
      </c>
      <c r="O14" s="38">
        <f>REMA!BG11</f>
        <v>0</v>
      </c>
      <c r="P14" s="38">
        <f>REMA!BH11</f>
        <v>0</v>
      </c>
      <c r="Q14" s="38">
        <f>REMA!BI11</f>
        <v>0</v>
      </c>
      <c r="R14" s="38">
        <f>REMA!BJ11</f>
        <v>0</v>
      </c>
      <c r="S14" s="38">
        <f>REMA!BK11</f>
        <v>0</v>
      </c>
      <c r="T14" s="527">
        <f t="shared" si="4"/>
        <v>1</v>
      </c>
      <c r="U14" s="38">
        <f>REMA!BN11</f>
        <v>0</v>
      </c>
      <c r="V14" s="38">
        <f>REMA!BO11</f>
        <v>1</v>
      </c>
      <c r="W14" s="38">
        <f>REMA!BP11</f>
        <v>0</v>
      </c>
      <c r="X14" s="38">
        <f>REMA!BQ11</f>
        <v>0</v>
      </c>
      <c r="Y14" s="38">
        <f>REMA!BR11</f>
        <v>0</v>
      </c>
      <c r="Z14" s="38">
        <f>REMA!BS11</f>
        <v>0</v>
      </c>
      <c r="AA14" s="38">
        <f>REMA!BT11</f>
        <v>0</v>
      </c>
      <c r="AB14" s="38">
        <f>REMA!BU11</f>
        <v>0</v>
      </c>
      <c r="AC14" s="38">
        <f>REMA!BV11</f>
        <v>0</v>
      </c>
      <c r="AD14" s="38">
        <f>REMA!BW11</f>
        <v>0</v>
      </c>
      <c r="AE14" s="38">
        <f>REMA!BX11</f>
        <v>0</v>
      </c>
      <c r="AF14" s="38">
        <f>REMA!BY11</f>
        <v>0</v>
      </c>
      <c r="AG14" s="548">
        <f t="shared" si="5"/>
        <v>1</v>
      </c>
      <c r="AH14" s="40">
        <f t="shared" si="0"/>
        <v>1</v>
      </c>
      <c r="AI14" s="42">
        <f t="shared" si="6"/>
        <v>0.90710000000000002</v>
      </c>
      <c r="AJ14" s="42">
        <f t="shared" si="7"/>
        <v>0.90710000000000002</v>
      </c>
      <c r="AK14" s="112">
        <f t="shared" si="1"/>
        <v>1</v>
      </c>
      <c r="AL14" s="71">
        <f t="shared" si="8"/>
        <v>6.59E-2</v>
      </c>
      <c r="AM14" s="144">
        <f t="shared" si="9"/>
        <v>0.90710000000000002</v>
      </c>
      <c r="AN14" s="144">
        <f t="shared" si="10"/>
        <v>1</v>
      </c>
      <c r="AO14" s="145">
        <f t="shared" si="11"/>
        <v>1.1024142872891634</v>
      </c>
      <c r="AP14" s="96">
        <f t="shared" si="12"/>
        <v>1</v>
      </c>
      <c r="AQ14" s="97">
        <f t="shared" si="13"/>
        <v>0.90710000000000002</v>
      </c>
      <c r="AR14" s="96">
        <f t="shared" si="2"/>
        <v>1</v>
      </c>
      <c r="AS14" s="97">
        <f t="shared" si="14"/>
        <v>7.5591666666666668E-2</v>
      </c>
      <c r="AT14" s="97">
        <f t="shared" si="15"/>
        <v>0.75591666666666668</v>
      </c>
      <c r="AU14" s="97">
        <f t="shared" si="3"/>
        <v>1</v>
      </c>
      <c r="AV14" s="98">
        <f t="shared" si="16"/>
        <v>1.3228971447469959</v>
      </c>
      <c r="AW14" s="427">
        <f t="shared" si="17"/>
        <v>0.24408333333333332</v>
      </c>
    </row>
    <row r="15" spans="1:50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52">
        <f>REMA!AZ12</f>
        <v>2</v>
      </c>
      <c r="I15" s="52">
        <f>REMA!BA12</f>
        <v>2</v>
      </c>
      <c r="J15" s="52">
        <f>REMA!BB12</f>
        <v>0</v>
      </c>
      <c r="K15" s="52">
        <f>REMA!BC12</f>
        <v>0</v>
      </c>
      <c r="L15" s="52">
        <f>REMA!BD12</f>
        <v>2</v>
      </c>
      <c r="M15" s="52">
        <f>REMA!BE12</f>
        <v>0</v>
      </c>
      <c r="N15" s="52">
        <f>REMA!BF12</f>
        <v>2</v>
      </c>
      <c r="O15" s="52">
        <f>REMA!BG12</f>
        <v>2</v>
      </c>
      <c r="P15" s="52">
        <f>REMA!BH12</f>
        <v>4</v>
      </c>
      <c r="Q15" s="52">
        <f>REMA!BI12</f>
        <v>2</v>
      </c>
      <c r="R15" s="52">
        <f>REMA!BJ12</f>
        <v>0</v>
      </c>
      <c r="S15" s="52">
        <f>REMA!BK12</f>
        <v>0</v>
      </c>
      <c r="T15" s="549">
        <f t="shared" si="4"/>
        <v>16</v>
      </c>
      <c r="U15" s="52">
        <f>REMA!BN12</f>
        <v>3</v>
      </c>
      <c r="V15" s="52">
        <f>REMA!BO12</f>
        <v>4</v>
      </c>
      <c r="W15" s="52">
        <f>REMA!BP12</f>
        <v>0</v>
      </c>
      <c r="X15" s="52">
        <f>REMA!BQ12</f>
        <v>2</v>
      </c>
      <c r="Y15" s="52">
        <f>REMA!BR12</f>
        <v>2</v>
      </c>
      <c r="Z15" s="52">
        <f>REMA!BS12</f>
        <v>0</v>
      </c>
      <c r="AA15" s="52">
        <f>REMA!BT12</f>
        <v>4</v>
      </c>
      <c r="AB15" s="52">
        <f>REMA!BU12</f>
        <v>3</v>
      </c>
      <c r="AC15" s="52">
        <f>REMA!BV12</f>
        <v>5</v>
      </c>
      <c r="AD15" s="52">
        <f>REMA!BW12</f>
        <v>2</v>
      </c>
      <c r="AE15" s="52">
        <f>REMA!BX12</f>
        <v>0</v>
      </c>
      <c r="AF15" s="52">
        <f>REMA!BY12</f>
        <v>0</v>
      </c>
      <c r="AG15" s="550">
        <f t="shared" si="5"/>
        <v>25</v>
      </c>
      <c r="AH15" s="54">
        <f t="shared" si="0"/>
        <v>0.64</v>
      </c>
      <c r="AI15" s="55">
        <f t="shared" si="6"/>
        <v>0.90710000000000002</v>
      </c>
      <c r="AJ15" s="55">
        <f t="shared" si="7"/>
        <v>0.90710000000000002</v>
      </c>
      <c r="AK15" s="115">
        <f t="shared" si="1"/>
        <v>0.70554514386506451</v>
      </c>
      <c r="AL15" s="71">
        <f t="shared" si="8"/>
        <v>4.6495424980707752E-2</v>
      </c>
      <c r="AM15" s="539">
        <f t="shared" si="9"/>
        <v>0.90710000000000002</v>
      </c>
      <c r="AN15" s="539">
        <f t="shared" si="10"/>
        <v>0.64</v>
      </c>
      <c r="AO15" s="540">
        <f t="shared" si="11"/>
        <v>0.70554514386506451</v>
      </c>
      <c r="AP15" s="96">
        <f t="shared" si="12"/>
        <v>25</v>
      </c>
      <c r="AQ15" s="97">
        <f t="shared" si="13"/>
        <v>22.677500000000002</v>
      </c>
      <c r="AR15" s="96">
        <f t="shared" si="2"/>
        <v>16</v>
      </c>
      <c r="AS15" s="97">
        <f t="shared" si="14"/>
        <v>1.8897916666666668</v>
      </c>
      <c r="AT15" s="97">
        <f t="shared" si="15"/>
        <v>18.897916666666667</v>
      </c>
      <c r="AU15" s="97">
        <f t="shared" si="3"/>
        <v>16</v>
      </c>
      <c r="AV15" s="541">
        <f t="shared" si="16"/>
        <v>0.84665417263807741</v>
      </c>
      <c r="AW15" s="427">
        <f t="shared" si="17"/>
        <v>-2.8979166666666671</v>
      </c>
    </row>
    <row r="16" spans="1:50" ht="15" customHeight="1" thickBot="1" x14ac:dyDescent="0.35">
      <c r="A16"/>
      <c r="B16"/>
      <c r="C16" s="64"/>
      <c r="D16" s="65"/>
      <c r="E16" s="66"/>
      <c r="F16" s="105"/>
      <c r="G16" s="538" t="s">
        <v>15</v>
      </c>
      <c r="H16" s="30">
        <f>SUM(H9:H15)</f>
        <v>94</v>
      </c>
      <c r="I16" s="30">
        <f t="shared" ref="I16:T16" si="18">SUM(I9:I15)</f>
        <v>82</v>
      </c>
      <c r="J16" s="30">
        <f t="shared" si="18"/>
        <v>74</v>
      </c>
      <c r="K16" s="30">
        <f t="shared" si="18"/>
        <v>66</v>
      </c>
      <c r="L16" s="30">
        <f t="shared" si="18"/>
        <v>54</v>
      </c>
      <c r="M16" s="30">
        <f t="shared" si="18"/>
        <v>75</v>
      </c>
      <c r="N16" s="30">
        <f t="shared" si="18"/>
        <v>69</v>
      </c>
      <c r="O16" s="30">
        <f t="shared" si="18"/>
        <v>68</v>
      </c>
      <c r="P16" s="30">
        <f t="shared" si="18"/>
        <v>75</v>
      </c>
      <c r="Q16" s="30">
        <f t="shared" si="18"/>
        <v>84</v>
      </c>
      <c r="R16" s="30">
        <f t="shared" si="18"/>
        <v>0</v>
      </c>
      <c r="S16" s="30">
        <f t="shared" si="18"/>
        <v>0</v>
      </c>
      <c r="T16" s="551">
        <f t="shared" si="18"/>
        <v>741</v>
      </c>
      <c r="U16" s="30">
        <f>SUM(U9:U15)</f>
        <v>103</v>
      </c>
      <c r="V16" s="30">
        <f t="shared" ref="V16:AG16" si="19">SUM(V9:V15)</f>
        <v>90</v>
      </c>
      <c r="W16" s="30">
        <f t="shared" si="19"/>
        <v>82</v>
      </c>
      <c r="X16" s="30">
        <f t="shared" si="19"/>
        <v>78</v>
      </c>
      <c r="Y16" s="30">
        <f t="shared" si="19"/>
        <v>65</v>
      </c>
      <c r="Z16" s="30">
        <f t="shared" si="19"/>
        <v>80</v>
      </c>
      <c r="AA16" s="30">
        <f t="shared" si="19"/>
        <v>75</v>
      </c>
      <c r="AB16" s="30">
        <f t="shared" si="19"/>
        <v>72</v>
      </c>
      <c r="AC16" s="30">
        <f t="shared" si="19"/>
        <v>80</v>
      </c>
      <c r="AD16" s="30">
        <f t="shared" si="19"/>
        <v>88</v>
      </c>
      <c r="AE16" s="30">
        <f t="shared" si="19"/>
        <v>0</v>
      </c>
      <c r="AF16" s="30">
        <f t="shared" si="19"/>
        <v>0</v>
      </c>
      <c r="AG16" s="552">
        <f t="shared" si="19"/>
        <v>813</v>
      </c>
      <c r="AH16" s="475">
        <f t="shared" si="0"/>
        <v>0.91143911439114389</v>
      </c>
      <c r="AI16" s="506">
        <f t="shared" si="6"/>
        <v>0.90710000000000002</v>
      </c>
      <c r="AJ16" s="506">
        <f t="shared" si="7"/>
        <v>0.90710000000000002</v>
      </c>
      <c r="AK16" s="507">
        <f t="shared" si="1"/>
        <v>1</v>
      </c>
      <c r="AL16" s="71">
        <f t="shared" si="8"/>
        <v>6.59E-2</v>
      </c>
      <c r="AM16" s="542">
        <f t="shared" si="9"/>
        <v>0.90710000000000002</v>
      </c>
      <c r="AN16" s="542">
        <f t="shared" si="10"/>
        <v>0.91143911439114389</v>
      </c>
      <c r="AO16" s="543">
        <f t="shared" si="11"/>
        <v>1.004783501698979</v>
      </c>
      <c r="AP16" s="544">
        <f t="shared" si="12"/>
        <v>813</v>
      </c>
      <c r="AQ16" s="545">
        <f t="shared" si="13"/>
        <v>737.47230000000002</v>
      </c>
      <c r="AR16" s="544">
        <f t="shared" si="2"/>
        <v>741</v>
      </c>
      <c r="AS16" s="97">
        <f t="shared" si="14"/>
        <v>61.456025000000004</v>
      </c>
      <c r="AT16" s="545">
        <f t="shared" si="15"/>
        <v>614.56025</v>
      </c>
      <c r="AU16" s="545">
        <f t="shared" si="3"/>
        <v>741</v>
      </c>
      <c r="AV16" s="546">
        <f t="shared" si="16"/>
        <v>1.2057402020387749</v>
      </c>
      <c r="AW16" s="427">
        <f t="shared" si="17"/>
        <v>126.43975</v>
      </c>
    </row>
    <row r="17" spans="3:40" x14ac:dyDescent="0.25">
      <c r="C17" s="64"/>
      <c r="D17" s="65"/>
      <c r="AI17" s="57"/>
      <c r="AM17" s="121"/>
      <c r="AN17" s="121"/>
    </row>
  </sheetData>
  <autoFilter ref="G4:G16" xr:uid="{00000000-0001-0000-0F00-000000000000}"/>
  <mergeCells count="11">
    <mergeCell ref="G1:AL1"/>
    <mergeCell ref="G2:AH2"/>
    <mergeCell ref="AI2:AL2"/>
    <mergeCell ref="H4:AL5"/>
    <mergeCell ref="AH6:AH7"/>
    <mergeCell ref="AI6:AJ6"/>
    <mergeCell ref="AK6:AL6"/>
    <mergeCell ref="U7:AG7"/>
    <mergeCell ref="U6:AG6"/>
    <mergeCell ref="H7:T7"/>
    <mergeCell ref="H6:T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037C-2152-4B0C-8BE3-C0BB27975D6F}">
  <sheetPr codeName="Hoja19">
    <tabColor rgb="FF00B050"/>
  </sheetPr>
  <dimension ref="A1:AA45"/>
  <sheetViews>
    <sheetView topLeftCell="H1" zoomScale="85" zoomScaleNormal="85" workbookViewId="0">
      <selection activeCell="M19" sqref="M1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1.140625" style="5" customWidth="1"/>
    <col min="8" max="10" width="25.140625" style="5" customWidth="1"/>
    <col min="11" max="11" width="22.28515625" style="5" customWidth="1"/>
    <col min="12" max="12" width="14.85546875" style="6" customWidth="1"/>
    <col min="13" max="13" width="12.5703125" style="5" customWidth="1"/>
    <col min="14" max="14" width="14.140625" style="5" customWidth="1"/>
    <col min="15" max="15" width="16.42578125" style="5" customWidth="1"/>
    <col min="16" max="16" width="15" style="57" customWidth="1"/>
    <col min="17" max="17" width="12.7109375" style="57" customWidth="1"/>
    <col min="18" max="27" width="12.7109375" style="5" customWidth="1"/>
    <col min="28" max="16384" width="11.42578125" style="5"/>
  </cols>
  <sheetData>
    <row r="1" spans="1:27" s="2" customFormat="1" ht="21.75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56"/>
    </row>
    <row r="2" spans="1:27" s="2" customFormat="1" ht="63" customHeight="1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5" t="str">
        <f>+NOMBRE!B7</f>
        <v>ENERO - OCTUBRE 2024</v>
      </c>
      <c r="N2" s="905"/>
      <c r="O2" s="905"/>
      <c r="P2" s="905"/>
    </row>
    <row r="3" spans="1:27" ht="39.75" customHeight="1" thickBot="1" x14ac:dyDescent="0.3">
      <c r="Q3" s="5"/>
      <c r="T3" s="6"/>
      <c r="W3" s="87" t="s">
        <v>45</v>
      </c>
      <c r="X3" s="88">
        <v>12</v>
      </c>
      <c r="Y3" s="6"/>
      <c r="Z3" s="6"/>
    </row>
    <row r="4" spans="1:27" ht="45" customHeight="1" x14ac:dyDescent="0.25">
      <c r="G4" s="58"/>
      <c r="H4" s="906" t="s">
        <v>507</v>
      </c>
      <c r="I4" s="924"/>
      <c r="J4" s="924"/>
      <c r="K4" s="907"/>
      <c r="L4" s="907"/>
      <c r="M4" s="907"/>
      <c r="N4" s="907"/>
      <c r="O4" s="907"/>
      <c r="P4" s="908"/>
      <c r="Q4" s="5"/>
      <c r="T4" s="6"/>
      <c r="W4" s="87" t="s">
        <v>46</v>
      </c>
      <c r="X4" s="88">
        <f>meta3!AB2</f>
        <v>10</v>
      </c>
      <c r="Y4" s="6"/>
    </row>
    <row r="5" spans="1:27" ht="45" customHeight="1" thickBot="1" x14ac:dyDescent="0.3">
      <c r="G5" s="58"/>
      <c r="H5" s="1000"/>
      <c r="I5" s="1002"/>
      <c r="J5" s="1002"/>
      <c r="K5" s="925"/>
      <c r="L5" s="925"/>
      <c r="M5" s="925"/>
      <c r="N5" s="925"/>
      <c r="O5" s="925"/>
      <c r="P5" s="926"/>
      <c r="Q5" s="89" t="s">
        <v>47</v>
      </c>
      <c r="R5" s="89" t="s">
        <v>48</v>
      </c>
      <c r="S5" s="89" t="s">
        <v>49</v>
      </c>
      <c r="T5" s="89" t="s">
        <v>50</v>
      </c>
      <c r="U5" s="89" t="s">
        <v>51</v>
      </c>
      <c r="V5" s="89" t="s">
        <v>52</v>
      </c>
      <c r="W5" s="89" t="s">
        <v>45</v>
      </c>
      <c r="X5" s="89" t="s">
        <v>53</v>
      </c>
      <c r="Y5" s="89" t="s">
        <v>54</v>
      </c>
      <c r="Z5" s="89" t="s">
        <v>55</v>
      </c>
      <c r="AA5" s="89" t="s">
        <v>56</v>
      </c>
    </row>
    <row r="6" spans="1:27" ht="79.5" customHeight="1" thickBot="1" x14ac:dyDescent="0.3">
      <c r="G6" s="59"/>
      <c r="H6" s="60" t="s">
        <v>4</v>
      </c>
      <c r="I6" s="782" t="s">
        <v>4</v>
      </c>
      <c r="J6" s="806" t="s">
        <v>4</v>
      </c>
      <c r="K6" s="61" t="s">
        <v>5</v>
      </c>
      <c r="L6" s="912" t="s">
        <v>6</v>
      </c>
      <c r="M6" s="914">
        <f>+NOMBRE!$B$9</f>
        <v>2024</v>
      </c>
      <c r="N6" s="915"/>
      <c r="O6" s="916" t="s">
        <v>7</v>
      </c>
      <c r="P6" s="917"/>
      <c r="Q6" s="529" t="s">
        <v>57</v>
      </c>
      <c r="R6" s="529" t="s">
        <v>58</v>
      </c>
      <c r="S6" s="529" t="s">
        <v>59</v>
      </c>
      <c r="T6" s="530" t="s">
        <v>60</v>
      </c>
      <c r="U6" s="530" t="s">
        <v>61</v>
      </c>
      <c r="V6" s="530" t="s">
        <v>62</v>
      </c>
      <c r="W6" s="530" t="s">
        <v>63</v>
      </c>
      <c r="X6" s="530" t="s">
        <v>64</v>
      </c>
      <c r="Y6" s="530" t="s">
        <v>65</v>
      </c>
      <c r="Z6" s="531" t="s">
        <v>66</v>
      </c>
      <c r="AA6" s="531" t="s">
        <v>67</v>
      </c>
    </row>
    <row r="7" spans="1:27" ht="66" customHeight="1" thickBot="1" x14ac:dyDescent="0.3">
      <c r="G7" s="603" t="s">
        <v>431</v>
      </c>
      <c r="H7" s="10" t="s">
        <v>128</v>
      </c>
      <c r="I7" s="781" t="s">
        <v>128</v>
      </c>
      <c r="J7" s="805" t="s">
        <v>128</v>
      </c>
      <c r="K7" s="11" t="s">
        <v>129</v>
      </c>
      <c r="L7" s="913"/>
      <c r="M7" s="12" t="s">
        <v>11</v>
      </c>
      <c r="N7" s="12" t="s">
        <v>500</v>
      </c>
      <c r="O7" s="214" t="s">
        <v>13</v>
      </c>
      <c r="P7" s="14" t="s">
        <v>506</v>
      </c>
      <c r="Q7" s="532" t="s">
        <v>68</v>
      </c>
      <c r="R7" s="532" t="s">
        <v>69</v>
      </c>
      <c r="S7" s="532" t="s">
        <v>70</v>
      </c>
      <c r="T7" s="532" t="s">
        <v>71</v>
      </c>
      <c r="U7" s="532" t="s">
        <v>72</v>
      </c>
      <c r="V7" s="532" t="s">
        <v>73</v>
      </c>
      <c r="W7" s="532" t="s">
        <v>74</v>
      </c>
      <c r="X7" s="532" t="s">
        <v>75</v>
      </c>
      <c r="Y7" s="532" t="s">
        <v>76</v>
      </c>
      <c r="Z7" s="532" t="s">
        <v>77</v>
      </c>
      <c r="AA7" s="532" t="s">
        <v>78</v>
      </c>
    </row>
    <row r="8" spans="1:27" ht="16.5" thickBot="1" x14ac:dyDescent="0.3">
      <c r="G8" s="664"/>
      <c r="H8" s="436" t="s">
        <v>519</v>
      </c>
      <c r="I8" s="777" t="s">
        <v>520</v>
      </c>
      <c r="J8" s="808" t="s">
        <v>537</v>
      </c>
      <c r="K8" s="437"/>
      <c r="L8" s="665"/>
      <c r="M8" s="490">
        <f>indicadores!$E$36</f>
        <v>0.2344</v>
      </c>
      <c r="N8" s="666">
        <f>indicadores!$D$54</f>
        <v>0.7</v>
      </c>
      <c r="O8" s="439"/>
      <c r="P8" s="439">
        <v>6.59</v>
      </c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</row>
    <row r="9" spans="1:27" ht="15" customHeight="1" thickBot="1" x14ac:dyDescent="0.35">
      <c r="A9" s="212"/>
      <c r="B9" s="212"/>
      <c r="C9" s="64"/>
      <c r="D9" s="65"/>
      <c r="E9" s="66"/>
      <c r="F9" s="105"/>
      <c r="G9" s="19" t="s">
        <v>432</v>
      </c>
      <c r="H9" s="69">
        <f>REMP!L6</f>
        <v>171</v>
      </c>
      <c r="I9" s="69">
        <f>REMP!U6</f>
        <v>196</v>
      </c>
      <c r="J9" s="69">
        <f>REMP!AD6</f>
        <v>164</v>
      </c>
      <c r="K9" s="69">
        <f>Poblacion2024!AB6</f>
        <v>1829.8980000000001</v>
      </c>
      <c r="L9" s="35">
        <f>IF(K9=0,0,+J9/K9)</f>
        <v>8.9622481690236275E-2</v>
      </c>
      <c r="M9" s="37">
        <f>M8</f>
        <v>0.2344</v>
      </c>
      <c r="N9" s="37">
        <f>+M9*$N$8</f>
        <v>0.16407999999999998</v>
      </c>
      <c r="O9" s="109">
        <f t="shared" ref="O9:O16" si="0">IF(+L9/N9&gt;1,1,+L9/N9)</f>
        <v>0.54621210196389747</v>
      </c>
      <c r="P9" s="71">
        <f>+O9*$P$8/100</f>
        <v>3.5995377519420842E-2</v>
      </c>
      <c r="Q9" s="144">
        <f>M9</f>
        <v>0.2344</v>
      </c>
      <c r="R9" s="144">
        <f>(V9/T9)</f>
        <v>8.9622481690236275E-2</v>
      </c>
      <c r="S9" s="145">
        <f>R9/Q9</f>
        <v>0.38234847137472816</v>
      </c>
      <c r="T9" s="96">
        <f>K9</f>
        <v>1829.8980000000001</v>
      </c>
      <c r="U9" s="97">
        <f>T9*Q9</f>
        <v>428.92809120000004</v>
      </c>
      <c r="V9" s="96">
        <f>J9</f>
        <v>164</v>
      </c>
      <c r="W9" s="97">
        <f>U9/$X$3</f>
        <v>35.744007600000003</v>
      </c>
      <c r="X9" s="97">
        <f>W9*$X$4</f>
        <v>357.44007600000003</v>
      </c>
      <c r="Y9" s="97">
        <f>J9</f>
        <v>164</v>
      </c>
      <c r="Z9" s="98">
        <f>Y9/X9</f>
        <v>0.45881816564967376</v>
      </c>
      <c r="AA9" s="427">
        <f>(X9-Y9)*-1</f>
        <v>-193.44007600000003</v>
      </c>
    </row>
    <row r="10" spans="1:27" ht="15" customHeight="1" thickBot="1" x14ac:dyDescent="0.35">
      <c r="A10" s="212"/>
      <c r="B10" s="212"/>
      <c r="C10" s="64"/>
      <c r="D10" s="65"/>
      <c r="E10" s="66"/>
      <c r="F10" s="105"/>
      <c r="G10" s="19" t="s">
        <v>433</v>
      </c>
      <c r="H10" s="74">
        <f>REMP!L7</f>
        <v>449</v>
      </c>
      <c r="I10" s="74">
        <f>REMP!U7</f>
        <v>465</v>
      </c>
      <c r="J10" s="74">
        <f>REMP!AD7</f>
        <v>492</v>
      </c>
      <c r="K10" s="74">
        <f>Poblacion2024!AB7</f>
        <v>1565</v>
      </c>
      <c r="L10" s="35">
        <f t="shared" ref="L10:L15" si="1">IF(K10=0,0,+J10/K10)</f>
        <v>0.31437699680511183</v>
      </c>
      <c r="M10" s="42">
        <f t="shared" ref="M10:M16" si="2">M9</f>
        <v>0.2344</v>
      </c>
      <c r="N10" s="42">
        <f t="shared" ref="N10:N15" si="3">+M10*$N$8</f>
        <v>0.16407999999999998</v>
      </c>
      <c r="O10" s="112">
        <f t="shared" si="0"/>
        <v>1</v>
      </c>
      <c r="P10" s="71">
        <f t="shared" ref="P10:P16" si="4">+O10*$P$8/100</f>
        <v>6.59E-2</v>
      </c>
      <c r="Q10" s="144">
        <f t="shared" ref="Q10:Q16" si="5">M10</f>
        <v>0.2344</v>
      </c>
      <c r="R10" s="144">
        <f t="shared" ref="R10:R16" si="6">(V10/T10)</f>
        <v>0.31437699680511183</v>
      </c>
      <c r="S10" s="145">
        <f t="shared" ref="S10:S16" si="7">R10/Q10</f>
        <v>1.3411987918306818</v>
      </c>
      <c r="T10" s="96">
        <f t="shared" ref="T10:T16" si="8">K10</f>
        <v>1565</v>
      </c>
      <c r="U10" s="97">
        <f t="shared" ref="U10:U16" si="9">T10*Q10</f>
        <v>366.83600000000001</v>
      </c>
      <c r="V10" s="96">
        <f t="shared" ref="V10:V15" si="10">J10</f>
        <v>492</v>
      </c>
      <c r="W10" s="97">
        <f t="shared" ref="W10:W16" si="11">U10/$X$3</f>
        <v>30.569666666666667</v>
      </c>
      <c r="X10" s="97">
        <f t="shared" ref="X10:X16" si="12">W10*$X$4</f>
        <v>305.69666666666666</v>
      </c>
      <c r="Y10" s="97">
        <f t="shared" ref="Y10:Y15" si="13">J10</f>
        <v>492</v>
      </c>
      <c r="Z10" s="98">
        <f t="shared" ref="Z10:Z16" si="14">Y10/X10</f>
        <v>1.6094385501968183</v>
      </c>
      <c r="AA10" s="427">
        <f t="shared" ref="AA10:AA16" si="15">(X10-Y10)*-1</f>
        <v>186.30333333333334</v>
      </c>
    </row>
    <row r="11" spans="1:27" ht="15" customHeight="1" thickBot="1" x14ac:dyDescent="0.35">
      <c r="A11" s="212"/>
      <c r="B11" s="212"/>
      <c r="C11" s="64"/>
      <c r="D11" s="65"/>
      <c r="E11" s="66"/>
      <c r="F11" s="105"/>
      <c r="G11" s="19" t="s">
        <v>434</v>
      </c>
      <c r="H11" s="74">
        <f>REMP!L8</f>
        <v>164</v>
      </c>
      <c r="I11" s="74">
        <f>REMP!U8</f>
        <v>180</v>
      </c>
      <c r="J11" s="74">
        <f>REMP!AD8</f>
        <v>184</v>
      </c>
      <c r="K11" s="74">
        <f>Poblacion2024!AB8</f>
        <v>1290</v>
      </c>
      <c r="L11" s="35">
        <f t="shared" si="1"/>
        <v>0.14263565891472868</v>
      </c>
      <c r="M11" s="42">
        <f t="shared" si="2"/>
        <v>0.2344</v>
      </c>
      <c r="N11" s="42">
        <f t="shared" si="3"/>
        <v>0.16407999999999998</v>
      </c>
      <c r="O11" s="112">
        <f t="shared" si="0"/>
        <v>0.86930557602833192</v>
      </c>
      <c r="P11" s="71">
        <f t="shared" si="4"/>
        <v>5.7287237460267072E-2</v>
      </c>
      <c r="Q11" s="144">
        <f t="shared" si="5"/>
        <v>0.2344</v>
      </c>
      <c r="R11" s="144">
        <f t="shared" si="6"/>
        <v>0.14263565891472868</v>
      </c>
      <c r="S11" s="145">
        <f t="shared" si="7"/>
        <v>0.60851390321983223</v>
      </c>
      <c r="T11" s="96">
        <f t="shared" si="8"/>
        <v>1290</v>
      </c>
      <c r="U11" s="97">
        <f t="shared" si="9"/>
        <v>302.37599999999998</v>
      </c>
      <c r="V11" s="96">
        <f t="shared" si="10"/>
        <v>184</v>
      </c>
      <c r="W11" s="97">
        <f t="shared" si="11"/>
        <v>25.197999999999997</v>
      </c>
      <c r="X11" s="97">
        <f t="shared" si="12"/>
        <v>251.97999999999996</v>
      </c>
      <c r="Y11" s="97">
        <f t="shared" si="13"/>
        <v>184</v>
      </c>
      <c r="Z11" s="98">
        <f t="shared" si="14"/>
        <v>0.73021668386379879</v>
      </c>
      <c r="AA11" s="427">
        <f t="shared" si="15"/>
        <v>-67.979999999999961</v>
      </c>
    </row>
    <row r="12" spans="1:27" ht="15" customHeight="1" thickBot="1" x14ac:dyDescent="0.35">
      <c r="A12" s="212"/>
      <c r="B12" s="212"/>
      <c r="C12" s="64"/>
      <c r="D12" s="65"/>
      <c r="E12" s="66"/>
      <c r="F12" s="105"/>
      <c r="G12" s="19" t="s">
        <v>435</v>
      </c>
      <c r="H12" s="74">
        <f>REMP!L9</f>
        <v>235</v>
      </c>
      <c r="I12" s="74">
        <f>REMP!U9</f>
        <v>249</v>
      </c>
      <c r="J12" s="74">
        <f>REMP!AD9</f>
        <v>248</v>
      </c>
      <c r="K12" s="74">
        <f>Poblacion2024!AB9</f>
        <v>1272.2496000000001</v>
      </c>
      <c r="L12" s="35">
        <f t="shared" si="1"/>
        <v>0.19493030298457156</v>
      </c>
      <c r="M12" s="42">
        <f t="shared" si="2"/>
        <v>0.2344</v>
      </c>
      <c r="N12" s="42">
        <f t="shared" si="3"/>
        <v>0.16407999999999998</v>
      </c>
      <c r="O12" s="112">
        <f t="shared" si="0"/>
        <v>1</v>
      </c>
      <c r="P12" s="71">
        <f t="shared" si="4"/>
        <v>6.59E-2</v>
      </c>
      <c r="Q12" s="144">
        <f t="shared" si="5"/>
        <v>0.2344</v>
      </c>
      <c r="R12" s="144">
        <f t="shared" si="6"/>
        <v>0.19493030298457156</v>
      </c>
      <c r="S12" s="145">
        <f t="shared" si="7"/>
        <v>0.83161392058264316</v>
      </c>
      <c r="T12" s="96">
        <f t="shared" si="8"/>
        <v>1272.2496000000001</v>
      </c>
      <c r="U12" s="97">
        <f t="shared" si="9"/>
        <v>298.21530624000002</v>
      </c>
      <c r="V12" s="96">
        <f t="shared" si="10"/>
        <v>248</v>
      </c>
      <c r="W12" s="97">
        <f t="shared" si="11"/>
        <v>24.851275520000002</v>
      </c>
      <c r="X12" s="97">
        <f t="shared" si="12"/>
        <v>248.51275520000002</v>
      </c>
      <c r="Y12" s="97">
        <f t="shared" si="13"/>
        <v>248</v>
      </c>
      <c r="Z12" s="98">
        <f t="shared" si="14"/>
        <v>0.99793670469917184</v>
      </c>
      <c r="AA12" s="427">
        <f t="shared" si="15"/>
        <v>-0.51275520000001507</v>
      </c>
    </row>
    <row r="13" spans="1:27" ht="15" customHeight="1" thickBot="1" x14ac:dyDescent="0.35">
      <c r="A13" s="212"/>
      <c r="B13" s="212"/>
      <c r="C13" s="64"/>
      <c r="D13" s="65"/>
      <c r="E13" s="66"/>
      <c r="F13" s="105"/>
      <c r="G13" s="19" t="s">
        <v>436</v>
      </c>
      <c r="H13" s="74">
        <f>REMP!L10</f>
        <v>489</v>
      </c>
      <c r="I13" s="74">
        <f>REMP!U10</f>
        <v>502</v>
      </c>
      <c r="J13" s="74">
        <f>REMP!AD10</f>
        <v>520</v>
      </c>
      <c r="K13" s="74">
        <f>Poblacion2024!AB10</f>
        <v>1190</v>
      </c>
      <c r="L13" s="35">
        <f t="shared" si="1"/>
        <v>0.43697478991596639</v>
      </c>
      <c r="M13" s="42">
        <f t="shared" si="2"/>
        <v>0.2344</v>
      </c>
      <c r="N13" s="42">
        <f t="shared" si="3"/>
        <v>0.16407999999999998</v>
      </c>
      <c r="O13" s="112">
        <f t="shared" si="0"/>
        <v>1</v>
      </c>
      <c r="P13" s="71">
        <f t="shared" si="4"/>
        <v>6.59E-2</v>
      </c>
      <c r="Q13" s="144">
        <f t="shared" si="5"/>
        <v>0.2344</v>
      </c>
      <c r="R13" s="144">
        <f t="shared" si="6"/>
        <v>0.43697478991596639</v>
      </c>
      <c r="S13" s="145">
        <f t="shared" si="7"/>
        <v>1.8642269194367167</v>
      </c>
      <c r="T13" s="96">
        <f t="shared" si="8"/>
        <v>1190</v>
      </c>
      <c r="U13" s="97">
        <f t="shared" si="9"/>
        <v>278.93599999999998</v>
      </c>
      <c r="V13" s="96">
        <f t="shared" si="10"/>
        <v>520</v>
      </c>
      <c r="W13" s="97">
        <f t="shared" si="11"/>
        <v>23.244666666666664</v>
      </c>
      <c r="X13" s="97">
        <f t="shared" si="12"/>
        <v>232.44666666666663</v>
      </c>
      <c r="Y13" s="97">
        <f t="shared" si="13"/>
        <v>520</v>
      </c>
      <c r="Z13" s="98">
        <f t="shared" si="14"/>
        <v>2.2370723033240605</v>
      </c>
      <c r="AA13" s="427">
        <f t="shared" si="15"/>
        <v>287.5533333333334</v>
      </c>
    </row>
    <row r="14" spans="1:27" ht="15" customHeight="1" thickBot="1" x14ac:dyDescent="0.35">
      <c r="A14" s="212"/>
      <c r="B14" s="212"/>
      <c r="C14" s="64"/>
      <c r="D14" s="65"/>
      <c r="E14" s="66"/>
      <c r="F14" s="105"/>
      <c r="G14" s="19" t="s">
        <v>437</v>
      </c>
      <c r="H14" s="74">
        <f>REMP!L11</f>
        <v>0</v>
      </c>
      <c r="I14" s="74">
        <f>REMP!U11</f>
        <v>0</v>
      </c>
      <c r="J14" s="74">
        <f>REMP!AD11</f>
        <v>0</v>
      </c>
      <c r="K14" s="74">
        <f>Poblacion2024!AB11</f>
        <v>24.101999999999997</v>
      </c>
      <c r="L14" s="35">
        <f t="shared" si="1"/>
        <v>0</v>
      </c>
      <c r="M14" s="42">
        <f t="shared" si="2"/>
        <v>0.2344</v>
      </c>
      <c r="N14" s="42">
        <f t="shared" si="3"/>
        <v>0.16407999999999998</v>
      </c>
      <c r="O14" s="112">
        <f t="shared" si="0"/>
        <v>0</v>
      </c>
      <c r="P14" s="71">
        <f t="shared" si="4"/>
        <v>0</v>
      </c>
      <c r="Q14" s="144">
        <f t="shared" si="5"/>
        <v>0.2344</v>
      </c>
      <c r="R14" s="144">
        <f t="shared" si="6"/>
        <v>0</v>
      </c>
      <c r="S14" s="145">
        <f t="shared" si="7"/>
        <v>0</v>
      </c>
      <c r="T14" s="96">
        <f t="shared" si="8"/>
        <v>24.101999999999997</v>
      </c>
      <c r="U14" s="97">
        <f t="shared" si="9"/>
        <v>5.6495087999999996</v>
      </c>
      <c r="V14" s="96">
        <f t="shared" si="10"/>
        <v>0</v>
      </c>
      <c r="W14" s="97">
        <f t="shared" si="11"/>
        <v>0.47079239999999994</v>
      </c>
      <c r="X14" s="97">
        <f t="shared" si="12"/>
        <v>4.7079239999999993</v>
      </c>
      <c r="Y14" s="97">
        <f t="shared" si="13"/>
        <v>0</v>
      </c>
      <c r="Z14" s="98">
        <f t="shared" si="14"/>
        <v>0</v>
      </c>
      <c r="AA14" s="427">
        <f t="shared" si="15"/>
        <v>-4.7079239999999993</v>
      </c>
    </row>
    <row r="15" spans="1:27" ht="15" customHeight="1" thickBot="1" x14ac:dyDescent="0.35">
      <c r="A15" s="212"/>
      <c r="B15" s="212"/>
      <c r="C15" s="64"/>
      <c r="D15" s="65"/>
      <c r="E15" s="66"/>
      <c r="F15" s="105"/>
      <c r="G15" s="28" t="s">
        <v>438</v>
      </c>
      <c r="H15" s="74">
        <f>REMP!L12</f>
        <v>115</v>
      </c>
      <c r="I15" s="74">
        <f>REMP!U12</f>
        <v>120</v>
      </c>
      <c r="J15" s="74">
        <f>REMP!AD12</f>
        <v>127</v>
      </c>
      <c r="K15" s="114">
        <f>Poblacion2024!AB12</f>
        <v>335.75040000000001</v>
      </c>
      <c r="L15" s="35">
        <f t="shared" si="1"/>
        <v>0.37825718152532356</v>
      </c>
      <c r="M15" s="55">
        <f t="shared" si="2"/>
        <v>0.2344</v>
      </c>
      <c r="N15" s="55">
        <f t="shared" si="3"/>
        <v>0.16407999999999998</v>
      </c>
      <c r="O15" s="115">
        <f t="shared" si="0"/>
        <v>1</v>
      </c>
      <c r="P15" s="71">
        <f t="shared" si="4"/>
        <v>6.59E-2</v>
      </c>
      <c r="Q15" s="539">
        <f t="shared" si="5"/>
        <v>0.2344</v>
      </c>
      <c r="R15" s="539">
        <f t="shared" si="6"/>
        <v>0.37825718152532356</v>
      </c>
      <c r="S15" s="540">
        <f t="shared" si="7"/>
        <v>1.6137251771558172</v>
      </c>
      <c r="T15" s="96">
        <f t="shared" si="8"/>
        <v>335.75040000000001</v>
      </c>
      <c r="U15" s="97">
        <f t="shared" si="9"/>
        <v>78.699893760000009</v>
      </c>
      <c r="V15" s="96">
        <f t="shared" si="10"/>
        <v>127</v>
      </c>
      <c r="W15" s="97">
        <f t="shared" si="11"/>
        <v>6.5583244800000005</v>
      </c>
      <c r="X15" s="97">
        <f t="shared" si="12"/>
        <v>65.583244800000003</v>
      </c>
      <c r="Y15" s="97">
        <f t="shared" si="13"/>
        <v>127</v>
      </c>
      <c r="Z15" s="541">
        <f t="shared" si="14"/>
        <v>1.9364702125869806</v>
      </c>
      <c r="AA15" s="427">
        <f t="shared" si="15"/>
        <v>61.416755199999997</v>
      </c>
    </row>
    <row r="16" spans="1:27" ht="15" customHeight="1" thickBot="1" x14ac:dyDescent="0.35">
      <c r="A16" s="212"/>
      <c r="B16" s="212"/>
      <c r="C16" s="64"/>
      <c r="D16" s="65"/>
      <c r="E16" s="66"/>
      <c r="F16" s="105"/>
      <c r="G16" s="538" t="s">
        <v>15</v>
      </c>
      <c r="H16" s="536">
        <f>SUM(H9:H15)</f>
        <v>1623</v>
      </c>
      <c r="I16" s="536">
        <f>SUM(I9:I15)</f>
        <v>1712</v>
      </c>
      <c r="J16" s="536">
        <f>SUM(J9:J15)</f>
        <v>1735</v>
      </c>
      <c r="K16" s="536">
        <f>SUM(K9:K15)</f>
        <v>7507</v>
      </c>
      <c r="L16" s="35">
        <f>IF(K16=0,0,+J16/K16)</f>
        <v>0.23111762355135207</v>
      </c>
      <c r="M16" s="506">
        <f t="shared" si="2"/>
        <v>0.2344</v>
      </c>
      <c r="N16" s="37">
        <f>+M16*$N$8</f>
        <v>0.16407999999999998</v>
      </c>
      <c r="O16" s="507">
        <f t="shared" si="0"/>
        <v>1</v>
      </c>
      <c r="P16" s="71">
        <f t="shared" si="4"/>
        <v>6.59E-2</v>
      </c>
      <c r="Q16" s="542">
        <f t="shared" si="5"/>
        <v>0.2344</v>
      </c>
      <c r="R16" s="542">
        <f t="shared" si="6"/>
        <v>0.23111762355135207</v>
      </c>
      <c r="S16" s="569">
        <f t="shared" si="7"/>
        <v>0.98599668750576819</v>
      </c>
      <c r="T16" s="838">
        <f t="shared" si="8"/>
        <v>7507</v>
      </c>
      <c r="U16" s="545">
        <f t="shared" si="9"/>
        <v>1759.6407999999999</v>
      </c>
      <c r="V16" s="544">
        <f>J16</f>
        <v>1735</v>
      </c>
      <c r="W16" s="545">
        <f t="shared" si="11"/>
        <v>146.63673333333332</v>
      </c>
      <c r="X16" s="545">
        <f t="shared" si="12"/>
        <v>1466.3673333333331</v>
      </c>
      <c r="Y16" s="839">
        <f>J16</f>
        <v>1735</v>
      </c>
      <c r="Z16" s="572">
        <f t="shared" si="14"/>
        <v>1.183196025006922</v>
      </c>
      <c r="AA16" s="427">
        <f t="shared" si="15"/>
        <v>268.63266666666686</v>
      </c>
    </row>
    <row r="17" spans="8:18" x14ac:dyDescent="0.25">
      <c r="H17" s="64"/>
      <c r="I17" s="64"/>
      <c r="J17" s="64"/>
      <c r="K17" s="64"/>
      <c r="M17" s="57"/>
      <c r="Q17" s="121"/>
      <c r="R17" s="121"/>
    </row>
    <row r="29" spans="8:18" x14ac:dyDescent="0.25">
      <c r="H29" s="15"/>
      <c r="I29" s="15"/>
      <c r="J29" s="15"/>
      <c r="K29" s="15"/>
    </row>
    <row r="30" spans="8:18" x14ac:dyDescent="0.25">
      <c r="H30" s="15"/>
      <c r="I30" s="15"/>
      <c r="J30" s="15"/>
      <c r="K30" s="15"/>
    </row>
    <row r="31" spans="8:18" x14ac:dyDescent="0.25">
      <c r="H31" s="15"/>
      <c r="I31" s="15"/>
      <c r="J31" s="15"/>
      <c r="K31" s="15"/>
    </row>
    <row r="32" spans="8:18" x14ac:dyDescent="0.25">
      <c r="H32" s="15"/>
      <c r="I32" s="15"/>
      <c r="J32" s="15"/>
      <c r="K32" s="15"/>
    </row>
    <row r="33" spans="8:11" x14ac:dyDescent="0.25">
      <c r="H33" s="15"/>
      <c r="I33" s="15"/>
      <c r="J33" s="15"/>
      <c r="K33" s="15"/>
    </row>
    <row r="34" spans="8:11" x14ac:dyDescent="0.25">
      <c r="H34" s="15"/>
      <c r="I34" s="15"/>
      <c r="J34" s="15"/>
      <c r="K34" s="15"/>
    </row>
    <row r="35" spans="8:11" x14ac:dyDescent="0.25">
      <c r="H35" s="15"/>
      <c r="I35" s="15"/>
      <c r="J35" s="15"/>
      <c r="K35" s="15"/>
    </row>
    <row r="36" spans="8:11" x14ac:dyDescent="0.25">
      <c r="H36" s="15"/>
      <c r="I36" s="15"/>
      <c r="J36" s="15"/>
      <c r="K36" s="15"/>
    </row>
    <row r="37" spans="8:11" x14ac:dyDescent="0.25">
      <c r="H37" s="15"/>
      <c r="I37" s="15"/>
      <c r="J37" s="15"/>
      <c r="K37" s="15"/>
    </row>
    <row r="38" spans="8:11" x14ac:dyDescent="0.25">
      <c r="H38" s="15"/>
      <c r="I38" s="15"/>
      <c r="J38" s="15"/>
      <c r="K38" s="15"/>
    </row>
    <row r="39" spans="8:11" x14ac:dyDescent="0.25">
      <c r="H39" s="15"/>
      <c r="I39" s="15"/>
      <c r="J39" s="15"/>
      <c r="K39" s="15"/>
    </row>
    <row r="40" spans="8:11" x14ac:dyDescent="0.25">
      <c r="H40" s="15"/>
      <c r="I40" s="15"/>
      <c r="J40" s="15"/>
      <c r="K40" s="15"/>
    </row>
    <row r="41" spans="8:11" x14ac:dyDescent="0.25">
      <c r="H41" s="15"/>
      <c r="I41" s="15"/>
      <c r="J41" s="15"/>
      <c r="K41" s="15"/>
    </row>
    <row r="42" spans="8:11" x14ac:dyDescent="0.25">
      <c r="H42" s="15"/>
      <c r="I42" s="15"/>
      <c r="J42" s="15"/>
      <c r="K42" s="15"/>
    </row>
    <row r="43" spans="8:11" x14ac:dyDescent="0.25">
      <c r="H43" s="15"/>
      <c r="I43" s="15"/>
      <c r="J43" s="15"/>
      <c r="K43" s="15"/>
    </row>
    <row r="44" spans="8:11" x14ac:dyDescent="0.25">
      <c r="H44" s="15"/>
      <c r="I44" s="15"/>
      <c r="J44" s="15"/>
      <c r="K44" s="15"/>
    </row>
    <row r="45" spans="8:11" x14ac:dyDescent="0.25">
      <c r="H45" s="15"/>
      <c r="I45" s="15"/>
      <c r="J45" s="15"/>
      <c r="K45" s="15"/>
    </row>
  </sheetData>
  <mergeCells count="7">
    <mergeCell ref="G1:P1"/>
    <mergeCell ref="G2:L2"/>
    <mergeCell ref="M2:P2"/>
    <mergeCell ref="H4:P5"/>
    <mergeCell ref="L6:L7"/>
    <mergeCell ref="M6:N6"/>
    <mergeCell ref="O6:P6"/>
  </mergeCells>
  <phoneticPr fontId="65" type="noConversion"/>
  <conditionalFormatting sqref="AA9:AA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B386-A78B-4EBA-A603-9454D3DFA53F}">
  <sheetPr codeName="Hoja3"/>
  <dimension ref="B2:BA69"/>
  <sheetViews>
    <sheetView topLeftCell="A49" zoomScale="136" zoomScaleNormal="136" workbookViewId="0">
      <selection activeCell="E54" sqref="E54"/>
    </sheetView>
  </sheetViews>
  <sheetFormatPr baseColWidth="10" defaultRowHeight="12.75" x14ac:dyDescent="0.2"/>
  <cols>
    <col min="1" max="1" width="5" customWidth="1"/>
    <col min="3" max="3" width="31.42578125" customWidth="1"/>
    <col min="4" max="4" width="58.140625" customWidth="1"/>
    <col min="5" max="5" width="51.7109375" customWidth="1"/>
    <col min="6" max="6" width="17.7109375" customWidth="1"/>
    <col min="7" max="7" width="2.28515625" customWidth="1"/>
    <col min="15" max="15" width="3" bestFit="1" customWidth="1"/>
    <col min="16" max="16" width="4" bestFit="1" customWidth="1"/>
    <col min="17" max="17" width="2.5703125" customWidth="1"/>
    <col min="18" max="18" width="2.5703125" style="331" customWidth="1"/>
    <col min="19" max="19" width="2.5703125" customWidth="1"/>
    <col min="20" max="20" width="3.42578125" customWidth="1"/>
    <col min="21" max="21" width="8" customWidth="1"/>
    <col min="22" max="22" width="4.5703125" customWidth="1"/>
    <col min="23" max="23" width="11.42578125" style="332"/>
    <col min="24" max="24" width="3.28515625" customWidth="1"/>
    <col min="26" max="26" width="4.28515625" customWidth="1"/>
    <col min="27" max="27" width="7.5703125" style="333" bestFit="1" customWidth="1"/>
    <col min="28" max="28" width="4" customWidth="1"/>
    <col min="29" max="30" width="4.85546875" customWidth="1"/>
    <col min="31" max="31" width="5.28515625" customWidth="1"/>
    <col min="32" max="32" width="6.85546875" style="332" customWidth="1"/>
    <col min="33" max="35" width="4.85546875" customWidth="1"/>
    <col min="36" max="36" width="8" customWidth="1"/>
    <col min="37" max="37" width="4.85546875" customWidth="1"/>
    <col min="38" max="38" width="3.5703125" customWidth="1"/>
    <col min="39" max="39" width="8" customWidth="1"/>
    <col min="40" max="40" width="4.5703125" customWidth="1"/>
    <col min="41" max="41" width="6.5703125" style="332" bestFit="1" customWidth="1"/>
    <col min="42" max="42" width="3.28515625" customWidth="1"/>
    <col min="43" max="43" width="3.28515625" bestFit="1" customWidth="1"/>
    <col min="44" max="44" width="4.28515625" customWidth="1"/>
    <col min="45" max="45" width="6.5703125" bestFit="1" customWidth="1"/>
    <col min="47" max="47" width="7.5703125" customWidth="1"/>
    <col min="48" max="48" width="5.28515625" customWidth="1"/>
    <col min="50" max="50" width="2.140625" customWidth="1"/>
  </cols>
  <sheetData>
    <row r="2" spans="2:41" ht="19.5" thickBot="1" x14ac:dyDescent="0.25">
      <c r="B2" s="861" t="s">
        <v>250</v>
      </c>
      <c r="C2" s="861"/>
      <c r="D2" s="861"/>
      <c r="E2" s="861"/>
      <c r="F2" s="861"/>
    </row>
    <row r="3" spans="2:41" s="110" customFormat="1" ht="26.25" thickBot="1" x14ac:dyDescent="0.25">
      <c r="B3" s="334" t="s">
        <v>251</v>
      </c>
      <c r="C3" s="335" t="s">
        <v>252</v>
      </c>
      <c r="D3" s="335" t="s">
        <v>253</v>
      </c>
      <c r="E3" s="335" t="s">
        <v>254</v>
      </c>
      <c r="F3" s="335" t="s">
        <v>255</v>
      </c>
      <c r="H3" s="110" t="s">
        <v>256</v>
      </c>
      <c r="R3" s="336"/>
      <c r="W3" s="67"/>
      <c r="AA3" s="337"/>
      <c r="AF3" s="67"/>
      <c r="AO3" s="67"/>
    </row>
    <row r="4" spans="2:41" s="110" customFormat="1" ht="63.75" customHeight="1" x14ac:dyDescent="0.25">
      <c r="B4" s="862">
        <v>1</v>
      </c>
      <c r="C4" s="865" t="s">
        <v>257</v>
      </c>
      <c r="D4" s="865" t="s">
        <v>258</v>
      </c>
      <c r="E4" s="862" t="s">
        <v>259</v>
      </c>
      <c r="F4" s="862">
        <v>4</v>
      </c>
      <c r="H4" s="338" t="s">
        <v>260</v>
      </c>
      <c r="R4" s="336"/>
      <c r="W4" s="67"/>
      <c r="AA4" s="337"/>
      <c r="AF4" s="67"/>
      <c r="AO4" s="67"/>
    </row>
    <row r="5" spans="2:41" s="110" customFormat="1" x14ac:dyDescent="0.2">
      <c r="B5" s="863"/>
      <c r="C5" s="866"/>
      <c r="D5" s="866"/>
      <c r="E5" s="863"/>
      <c r="F5" s="863"/>
      <c r="R5" s="336"/>
      <c r="W5" s="67"/>
      <c r="AA5" s="337"/>
      <c r="AF5" s="67"/>
      <c r="AO5" s="67"/>
    </row>
    <row r="6" spans="2:41" s="110" customFormat="1" x14ac:dyDescent="0.2">
      <c r="B6" s="863"/>
      <c r="C6" s="866"/>
      <c r="D6" s="866"/>
      <c r="E6" s="863"/>
      <c r="F6" s="863"/>
      <c r="R6" s="336"/>
      <c r="W6" s="67"/>
      <c r="AA6" s="337"/>
      <c r="AF6" s="67"/>
      <c r="AO6" s="67"/>
    </row>
    <row r="7" spans="2:41" s="110" customFormat="1" ht="12.75" customHeight="1" x14ac:dyDescent="0.2">
      <c r="B7" s="863"/>
      <c r="C7" s="866"/>
      <c r="D7" s="866"/>
      <c r="E7" s="868"/>
      <c r="F7" s="863"/>
      <c r="R7" s="336"/>
      <c r="W7" s="67"/>
      <c r="AA7" s="337"/>
      <c r="AF7" s="67"/>
      <c r="AO7" s="67"/>
    </row>
    <row r="8" spans="2:41" s="110" customFormat="1" ht="38.25" customHeight="1" thickBot="1" x14ac:dyDescent="0.25">
      <c r="B8" s="864"/>
      <c r="C8" s="867"/>
      <c r="D8" s="867"/>
      <c r="E8" s="869"/>
      <c r="F8" s="864"/>
      <c r="R8" s="336"/>
      <c r="W8" s="67"/>
      <c r="AA8" s="337"/>
      <c r="AF8" s="67"/>
      <c r="AO8" s="67"/>
    </row>
    <row r="9" spans="2:41" s="110" customFormat="1" ht="38.25" customHeight="1" thickBot="1" x14ac:dyDescent="0.25">
      <c r="B9" s="862">
        <v>2</v>
      </c>
      <c r="C9" s="865" t="s">
        <v>261</v>
      </c>
      <c r="D9" s="340" t="s">
        <v>262</v>
      </c>
      <c r="E9" s="341">
        <v>1</v>
      </c>
      <c r="F9" s="342">
        <v>4</v>
      </c>
      <c r="R9" s="336"/>
      <c r="W9" s="67"/>
      <c r="AA9" s="337"/>
      <c r="AF9" s="67"/>
      <c r="AO9" s="67"/>
    </row>
    <row r="10" spans="2:41" s="110" customFormat="1" ht="27" customHeight="1" thickBot="1" x14ac:dyDescent="0.25">
      <c r="B10" s="864"/>
      <c r="C10" s="867"/>
      <c r="D10" s="343" t="s">
        <v>263</v>
      </c>
      <c r="E10" s="341">
        <v>1</v>
      </c>
      <c r="F10" s="344">
        <v>4</v>
      </c>
      <c r="R10" s="336"/>
      <c r="W10" s="67"/>
      <c r="AA10" s="337"/>
      <c r="AF10" s="67"/>
      <c r="AO10" s="67"/>
    </row>
    <row r="11" spans="2:41" s="110" customFormat="1" ht="16.5" customHeight="1" thickBot="1" x14ac:dyDescent="0.25">
      <c r="B11" s="870" t="s">
        <v>264</v>
      </c>
      <c r="C11" s="871"/>
      <c r="D11" s="871"/>
      <c r="E11" s="872"/>
      <c r="F11" s="345">
        <v>0.12</v>
      </c>
      <c r="R11" s="336"/>
      <c r="W11" s="67"/>
      <c r="AA11" s="337"/>
      <c r="AF11" s="67"/>
      <c r="AO11" s="67"/>
    </row>
    <row r="12" spans="2:41" s="110" customFormat="1" ht="15.75" customHeight="1" x14ac:dyDescent="0.2">
      <c r="B12" s="346"/>
      <c r="R12" s="336"/>
      <c r="W12" s="67"/>
      <c r="AA12" s="337"/>
      <c r="AF12" s="67"/>
      <c r="AO12" s="67"/>
    </row>
    <row r="13" spans="2:41" s="110" customFormat="1" ht="18.75" x14ac:dyDescent="0.2">
      <c r="B13" s="873" t="s">
        <v>265</v>
      </c>
      <c r="C13" s="873"/>
      <c r="D13" s="873"/>
      <c r="E13" s="873"/>
      <c r="F13" s="873"/>
      <c r="R13" s="336"/>
      <c r="W13" s="67"/>
      <c r="AA13" s="337"/>
      <c r="AF13" s="67"/>
      <c r="AO13" s="67"/>
    </row>
    <row r="14" spans="2:41" s="110" customFormat="1" ht="13.5" customHeight="1" thickBot="1" x14ac:dyDescent="0.25">
      <c r="B14" s="346"/>
      <c r="R14" s="336"/>
      <c r="W14" s="67"/>
      <c r="AA14" s="337"/>
      <c r="AF14" s="67"/>
      <c r="AO14" s="67"/>
    </row>
    <row r="15" spans="2:41" s="110" customFormat="1" ht="27" customHeight="1" thickBot="1" x14ac:dyDescent="0.25">
      <c r="B15" s="347" t="s">
        <v>251</v>
      </c>
      <c r="C15" s="348" t="s">
        <v>252</v>
      </c>
      <c r="D15" s="348" t="s">
        <v>253</v>
      </c>
      <c r="E15" s="348" t="s">
        <v>266</v>
      </c>
      <c r="F15" s="348" t="s">
        <v>255</v>
      </c>
      <c r="R15" s="336"/>
      <c r="W15" s="67"/>
      <c r="AA15" s="337"/>
      <c r="AF15" s="67"/>
      <c r="AO15" s="67"/>
    </row>
    <row r="16" spans="2:41" s="110" customFormat="1" ht="40.5" customHeight="1" thickBot="1" x14ac:dyDescent="0.25">
      <c r="B16" s="339">
        <v>3</v>
      </c>
      <c r="C16" s="340" t="s">
        <v>267</v>
      </c>
      <c r="D16" s="340" t="s">
        <v>268</v>
      </c>
      <c r="E16" s="349">
        <v>1.08</v>
      </c>
      <c r="F16" s="349">
        <v>6</v>
      </c>
      <c r="R16" s="336"/>
      <c r="W16" s="67"/>
      <c r="AA16" s="337"/>
      <c r="AF16" s="67"/>
      <c r="AO16" s="67"/>
    </row>
    <row r="17" spans="2:41" s="110" customFormat="1" ht="15.75" customHeight="1" x14ac:dyDescent="0.2">
      <c r="B17" s="862">
        <v>4</v>
      </c>
      <c r="C17" s="865" t="s">
        <v>269</v>
      </c>
      <c r="D17" s="862" t="s">
        <v>270</v>
      </c>
      <c r="E17" s="862" t="s">
        <v>455</v>
      </c>
      <c r="F17" s="862">
        <v>5</v>
      </c>
      <c r="R17" s="336"/>
      <c r="W17" s="67"/>
      <c r="AA17" s="337"/>
      <c r="AF17" s="67"/>
      <c r="AO17" s="67"/>
    </row>
    <row r="18" spans="2:41" s="110" customFormat="1" ht="12.75" customHeight="1" x14ac:dyDescent="0.2">
      <c r="B18" s="863"/>
      <c r="C18" s="866"/>
      <c r="D18" s="868"/>
      <c r="E18" s="863"/>
      <c r="F18" s="863"/>
      <c r="R18" s="336"/>
      <c r="W18" s="67"/>
      <c r="AA18" s="337"/>
      <c r="AF18" s="67"/>
      <c r="AO18" s="67"/>
    </row>
    <row r="19" spans="2:41" s="110" customFormat="1" ht="12.75" customHeight="1" x14ac:dyDescent="0.2">
      <c r="B19" s="863"/>
      <c r="C19" s="866"/>
      <c r="D19" s="868"/>
      <c r="E19" s="863"/>
      <c r="F19" s="863"/>
      <c r="R19" s="336"/>
      <c r="W19" s="67"/>
      <c r="AA19" s="337"/>
      <c r="AF19" s="67"/>
      <c r="AO19" s="67"/>
    </row>
    <row r="20" spans="2:41" s="110" customFormat="1" ht="12.75" customHeight="1" x14ac:dyDescent="0.2">
      <c r="B20" s="863"/>
      <c r="C20" s="866"/>
      <c r="D20" s="868"/>
      <c r="E20" s="863"/>
      <c r="F20" s="863"/>
      <c r="R20" s="336"/>
      <c r="W20" s="67"/>
      <c r="AA20" s="337"/>
      <c r="AF20" s="67"/>
      <c r="AO20" s="67"/>
    </row>
    <row r="21" spans="2:41" s="110" customFormat="1" ht="13.5" customHeight="1" thickBot="1" x14ac:dyDescent="0.25">
      <c r="B21" s="864"/>
      <c r="C21" s="867"/>
      <c r="D21" s="869"/>
      <c r="E21" s="864"/>
      <c r="F21" s="864"/>
      <c r="R21" s="336"/>
      <c r="W21" s="67"/>
      <c r="AA21" s="337"/>
      <c r="AF21" s="67"/>
      <c r="AO21" s="67"/>
    </row>
    <row r="22" spans="2:41" s="110" customFormat="1" ht="26.25" thickBot="1" x14ac:dyDescent="0.25">
      <c r="B22" s="339">
        <v>5</v>
      </c>
      <c r="C22" s="340" t="s">
        <v>163</v>
      </c>
      <c r="D22" s="340" t="s">
        <v>271</v>
      </c>
      <c r="E22" s="742">
        <v>0.16500000000000001</v>
      </c>
      <c r="F22" s="349">
        <v>5</v>
      </c>
      <c r="R22" s="336"/>
      <c r="W22" s="67"/>
      <c r="AA22" s="337"/>
      <c r="AF22" s="67"/>
      <c r="AO22" s="67"/>
    </row>
    <row r="23" spans="2:41" s="110" customFormat="1" ht="39" thickBot="1" x14ac:dyDescent="0.25">
      <c r="B23" s="683" t="s">
        <v>467</v>
      </c>
      <c r="C23" s="679" t="s">
        <v>469</v>
      </c>
      <c r="D23" s="684"/>
      <c r="E23" s="687">
        <v>0.1119</v>
      </c>
      <c r="F23" s="685"/>
      <c r="R23" s="336"/>
      <c r="W23" s="67"/>
      <c r="AA23" s="337"/>
      <c r="AF23" s="67"/>
      <c r="AO23" s="67"/>
    </row>
    <row r="24" spans="2:41" s="110" customFormat="1" ht="62.25" customHeight="1" thickBot="1" x14ac:dyDescent="0.25">
      <c r="B24" s="686" t="s">
        <v>468</v>
      </c>
      <c r="C24" s="686" t="s">
        <v>470</v>
      </c>
      <c r="D24" s="680" t="s">
        <v>272</v>
      </c>
      <c r="E24" s="682">
        <v>0.1</v>
      </c>
      <c r="F24" s="681">
        <v>6</v>
      </c>
      <c r="R24" s="336"/>
      <c r="W24" s="67"/>
      <c r="AA24" s="337"/>
      <c r="AF24" s="67"/>
      <c r="AO24" s="67"/>
    </row>
    <row r="25" spans="2:41" s="110" customFormat="1" ht="39" thickBot="1" x14ac:dyDescent="0.25">
      <c r="B25" s="616">
        <v>6.2</v>
      </c>
      <c r="C25" s="616"/>
      <c r="D25" s="350" t="s">
        <v>273</v>
      </c>
      <c r="E25" s="351">
        <v>0.39</v>
      </c>
      <c r="F25" s="349">
        <v>6</v>
      </c>
      <c r="R25" s="336"/>
      <c r="W25" s="67"/>
      <c r="AA25" s="337"/>
      <c r="AF25" s="67"/>
      <c r="AO25" s="67"/>
    </row>
    <row r="26" spans="2:41" s="110" customFormat="1" ht="39" thickBot="1" x14ac:dyDescent="0.25">
      <c r="B26" s="339">
        <v>7</v>
      </c>
      <c r="C26" s="340" t="s">
        <v>274</v>
      </c>
      <c r="D26" s="340" t="s">
        <v>275</v>
      </c>
      <c r="E26" s="351">
        <v>0.95</v>
      </c>
      <c r="F26" s="349">
        <v>5</v>
      </c>
      <c r="R26" s="336"/>
      <c r="W26" s="67"/>
      <c r="AA26" s="337"/>
      <c r="AF26" s="67"/>
      <c r="AO26" s="67"/>
    </row>
    <row r="27" spans="2:41" s="110" customFormat="1" ht="39" thickBot="1" x14ac:dyDescent="0.25">
      <c r="B27" s="339">
        <v>8</v>
      </c>
      <c r="C27" s="340" t="s">
        <v>276</v>
      </c>
      <c r="D27" s="340" t="s">
        <v>277</v>
      </c>
      <c r="E27" s="629">
        <v>0.19439999999999999</v>
      </c>
      <c r="F27" s="349">
        <v>6</v>
      </c>
      <c r="R27" s="336"/>
      <c r="W27" s="67"/>
      <c r="AA27" s="337"/>
      <c r="AF27" s="67"/>
      <c r="AO27" s="67"/>
    </row>
    <row r="28" spans="2:41" s="110" customFormat="1" ht="44.25" customHeight="1" thickBot="1" x14ac:dyDescent="0.25">
      <c r="B28" s="339">
        <v>9</v>
      </c>
      <c r="C28" s="340" t="s">
        <v>278</v>
      </c>
      <c r="D28" s="340" t="s">
        <v>279</v>
      </c>
      <c r="E28" s="629">
        <v>0.46839999999999998</v>
      </c>
      <c r="F28" s="349">
        <v>5</v>
      </c>
      <c r="R28" s="336"/>
      <c r="W28" s="67"/>
      <c r="AA28" s="337"/>
      <c r="AF28" s="67"/>
      <c r="AO28" s="67"/>
    </row>
    <row r="29" spans="2:41" s="110" customFormat="1" ht="55.5" customHeight="1" thickBot="1" x14ac:dyDescent="0.25">
      <c r="B29" s="862">
        <v>10</v>
      </c>
      <c r="C29" s="862" t="s">
        <v>280</v>
      </c>
      <c r="D29" s="340" t="s">
        <v>281</v>
      </c>
      <c r="E29" s="629">
        <v>0.23880000000000001</v>
      </c>
      <c r="F29" s="862">
        <v>6</v>
      </c>
      <c r="H29" s="743" t="s">
        <v>498</v>
      </c>
      <c r="R29" s="336"/>
      <c r="W29" s="67"/>
      <c r="AA29" s="337"/>
      <c r="AF29" s="67"/>
      <c r="AO29" s="67"/>
    </row>
    <row r="30" spans="2:41" s="110" customFormat="1" ht="39" thickBot="1" x14ac:dyDescent="0.25">
      <c r="B30" s="864"/>
      <c r="C30" s="864"/>
      <c r="D30" s="340" t="s">
        <v>282</v>
      </c>
      <c r="E30" s="352">
        <v>6</v>
      </c>
      <c r="F30" s="864"/>
      <c r="R30" s="336"/>
      <c r="W30" s="67"/>
      <c r="AA30" s="337"/>
      <c r="AF30" s="67"/>
      <c r="AO30" s="67"/>
    </row>
    <row r="31" spans="2:41" s="110" customFormat="1" x14ac:dyDescent="0.2">
      <c r="B31" s="875">
        <v>11</v>
      </c>
      <c r="C31" s="875" t="s">
        <v>283</v>
      </c>
      <c r="D31" s="875" t="s">
        <v>284</v>
      </c>
      <c r="E31" s="878">
        <v>1</v>
      </c>
      <c r="F31" s="881" t="s">
        <v>285</v>
      </c>
      <c r="R31" s="336"/>
      <c r="W31" s="67"/>
      <c r="AA31" s="337"/>
      <c r="AF31" s="67"/>
      <c r="AO31" s="67"/>
    </row>
    <row r="32" spans="2:41" s="110" customFormat="1" ht="15.75" customHeight="1" x14ac:dyDescent="0.2">
      <c r="B32" s="876"/>
      <c r="C32" s="876"/>
      <c r="D32" s="876"/>
      <c r="E32" s="879"/>
      <c r="F32" s="882"/>
      <c r="R32" s="336"/>
      <c r="W32" s="67"/>
      <c r="AA32" s="337"/>
      <c r="AF32" s="67"/>
      <c r="AO32" s="67"/>
    </row>
    <row r="33" spans="2:53" s="110" customFormat="1" ht="13.5" customHeight="1" thickBot="1" x14ac:dyDescent="0.25">
      <c r="B33" s="877"/>
      <c r="C33" s="877"/>
      <c r="D33" s="877"/>
      <c r="E33" s="880"/>
      <c r="F33" s="883"/>
      <c r="R33" s="336"/>
      <c r="W33" s="67"/>
      <c r="AA33" s="337"/>
      <c r="AF33" s="67"/>
      <c r="AO33" s="67"/>
    </row>
    <row r="34" spans="2:53" s="110" customFormat="1" ht="39" thickBot="1" x14ac:dyDescent="0.3">
      <c r="B34" s="353">
        <v>12</v>
      </c>
      <c r="C34" s="354" t="s">
        <v>286</v>
      </c>
      <c r="D34" s="354" t="s">
        <v>287</v>
      </c>
      <c r="E34" s="355">
        <v>0.85</v>
      </c>
      <c r="F34" s="356">
        <v>5</v>
      </c>
      <c r="H34" s="338" t="s">
        <v>288</v>
      </c>
      <c r="R34" s="336"/>
      <c r="W34" s="67"/>
      <c r="AA34" s="337"/>
      <c r="AF34" s="67"/>
      <c r="AO34" s="67"/>
    </row>
    <row r="35" spans="2:53" s="110" customFormat="1" ht="26.25" thickBot="1" x14ac:dyDescent="0.25">
      <c r="B35" s="353">
        <v>13</v>
      </c>
      <c r="C35" s="354" t="s">
        <v>289</v>
      </c>
      <c r="D35" s="354" t="s">
        <v>290</v>
      </c>
      <c r="E35" s="631">
        <v>0.90710000000000002</v>
      </c>
      <c r="F35" s="356">
        <v>6</v>
      </c>
      <c r="R35" s="336"/>
      <c r="W35" s="67"/>
      <c r="AA35" s="337"/>
      <c r="AF35" s="67"/>
      <c r="AO35" s="67"/>
    </row>
    <row r="36" spans="2:53" s="110" customFormat="1" ht="51.75" thickBot="1" x14ac:dyDescent="0.3">
      <c r="B36" s="353">
        <v>14</v>
      </c>
      <c r="C36" s="354" t="s">
        <v>291</v>
      </c>
      <c r="D36" s="354" t="s">
        <v>292</v>
      </c>
      <c r="E36" s="631">
        <v>0.2344</v>
      </c>
      <c r="F36" s="356">
        <v>6</v>
      </c>
      <c r="H36" s="338" t="s">
        <v>288</v>
      </c>
      <c r="R36" s="336"/>
      <c r="W36" s="67"/>
      <c r="AA36" s="337"/>
      <c r="AF36" s="67"/>
      <c r="AO36" s="67"/>
    </row>
    <row r="37" spans="2:53" s="110" customFormat="1" ht="39" thickBot="1" x14ac:dyDescent="0.3">
      <c r="B37" s="353">
        <v>15</v>
      </c>
      <c r="C37" s="354" t="s">
        <v>293</v>
      </c>
      <c r="D37" s="354" t="s">
        <v>294</v>
      </c>
      <c r="E37" s="631">
        <v>0.55289999999999995</v>
      </c>
      <c r="F37" s="357">
        <v>6</v>
      </c>
      <c r="H37" s="338" t="s">
        <v>288</v>
      </c>
      <c r="R37" s="336"/>
      <c r="W37" s="67"/>
      <c r="AA37" s="337"/>
      <c r="AF37" s="67"/>
      <c r="AO37" s="67"/>
    </row>
    <row r="38" spans="2:53" s="110" customFormat="1" ht="39" thickBot="1" x14ac:dyDescent="0.3">
      <c r="B38" s="353">
        <v>16</v>
      </c>
      <c r="C38" s="354" t="s">
        <v>295</v>
      </c>
      <c r="D38" s="354" t="s">
        <v>296</v>
      </c>
      <c r="E38" s="631">
        <v>0.5423</v>
      </c>
      <c r="F38" s="356">
        <v>6</v>
      </c>
      <c r="H38" s="338" t="s">
        <v>288</v>
      </c>
      <c r="R38" s="336"/>
      <c r="W38" s="67"/>
      <c r="AA38" s="337"/>
      <c r="AF38" s="67"/>
      <c r="AO38" s="67"/>
    </row>
    <row r="39" spans="2:53" s="110" customFormat="1" ht="13.5" thickBot="1" x14ac:dyDescent="0.25">
      <c r="B39" s="884" t="s">
        <v>297</v>
      </c>
      <c r="C39" s="885"/>
      <c r="D39" s="885"/>
      <c r="E39" s="886"/>
      <c r="F39" s="358">
        <v>0.79</v>
      </c>
      <c r="R39" s="336"/>
      <c r="W39" s="67"/>
      <c r="AA39" s="337"/>
      <c r="AF39" s="67"/>
      <c r="AO39" s="67"/>
    </row>
    <row r="40" spans="2:53" s="110" customFormat="1" x14ac:dyDescent="0.2">
      <c r="B40" s="346"/>
      <c r="R40" s="336"/>
      <c r="W40" s="67"/>
      <c r="AA40" s="337"/>
      <c r="AF40" s="67"/>
      <c r="AO40" s="67"/>
    </row>
    <row r="41" spans="2:53" s="110" customFormat="1" ht="19.5" thickBot="1" x14ac:dyDescent="0.25">
      <c r="B41" s="887" t="s">
        <v>298</v>
      </c>
      <c r="C41" s="887"/>
      <c r="D41" s="887"/>
      <c r="E41" s="887"/>
      <c r="F41" s="887"/>
      <c r="R41" s="336"/>
      <c r="W41" s="67"/>
      <c r="AA41" s="337"/>
      <c r="AF41" s="67"/>
      <c r="AO41" s="67"/>
    </row>
    <row r="42" spans="2:53" s="110" customFormat="1" ht="26.25" thickBot="1" x14ac:dyDescent="0.25">
      <c r="B42" s="334" t="s">
        <v>299</v>
      </c>
      <c r="C42" s="335" t="s">
        <v>252</v>
      </c>
      <c r="D42" s="335" t="s">
        <v>253</v>
      </c>
      <c r="E42" s="335" t="s">
        <v>266</v>
      </c>
      <c r="F42" s="335" t="s">
        <v>255</v>
      </c>
      <c r="R42" s="336"/>
      <c r="W42" s="67"/>
      <c r="AA42" s="337"/>
      <c r="AF42" s="67"/>
      <c r="AO42" s="67"/>
    </row>
    <row r="43" spans="2:53" s="110" customFormat="1" ht="44.25" customHeight="1" thickBot="1" x14ac:dyDescent="0.25">
      <c r="B43" s="339">
        <v>17</v>
      </c>
      <c r="C43" s="340" t="s">
        <v>300</v>
      </c>
      <c r="D43" s="340" t="s">
        <v>301</v>
      </c>
      <c r="E43" s="355">
        <v>0.95</v>
      </c>
      <c r="F43" s="349">
        <v>5</v>
      </c>
      <c r="R43" s="336"/>
      <c r="U43" s="874" t="s">
        <v>302</v>
      </c>
      <c r="V43" s="874"/>
      <c r="W43" s="874"/>
      <c r="X43" s="874"/>
      <c r="Y43" s="874"/>
      <c r="Z43" s="874"/>
      <c r="AA43" s="874"/>
      <c r="AD43" s="874" t="s">
        <v>303</v>
      </c>
      <c r="AE43" s="874"/>
      <c r="AF43" s="874"/>
      <c r="AG43" s="874"/>
      <c r="AH43" s="874"/>
      <c r="AI43" s="874"/>
      <c r="AJ43" s="874"/>
      <c r="AM43" s="874" t="s">
        <v>304</v>
      </c>
      <c r="AN43" s="874"/>
      <c r="AO43" s="874"/>
      <c r="AP43" s="874"/>
      <c r="AQ43" s="874"/>
      <c r="AR43" s="874"/>
      <c r="AS43" s="874"/>
      <c r="AU43" s="874" t="s">
        <v>305</v>
      </c>
      <c r="AV43" s="874"/>
      <c r="AW43" s="874"/>
      <c r="AX43" s="874"/>
      <c r="AY43" s="874"/>
      <c r="AZ43" s="874"/>
      <c r="BA43" s="874"/>
    </row>
    <row r="44" spans="2:53" s="110" customFormat="1" ht="51.75" thickBot="1" x14ac:dyDescent="0.3">
      <c r="B44" s="339">
        <v>18</v>
      </c>
      <c r="C44" s="340" t="s">
        <v>306</v>
      </c>
      <c r="D44" s="340" t="s">
        <v>307</v>
      </c>
      <c r="E44" s="630">
        <v>0.65900000000000003</v>
      </c>
      <c r="F44" s="349">
        <v>4</v>
      </c>
      <c r="H44" s="338" t="s">
        <v>288</v>
      </c>
      <c r="R44" s="336"/>
      <c r="T44" s="359" t="s">
        <v>308</v>
      </c>
      <c r="U44" s="888" t="s">
        <v>309</v>
      </c>
      <c r="V44" s="888"/>
      <c r="W44" s="888"/>
      <c r="X44" s="359"/>
      <c r="Y44" s="888" t="s">
        <v>310</v>
      </c>
      <c r="Z44" s="888"/>
      <c r="AA44" s="888"/>
      <c r="AC44" s="360" t="s">
        <v>311</v>
      </c>
      <c r="AD44" s="889" t="s">
        <v>309</v>
      </c>
      <c r="AE44" s="889"/>
      <c r="AF44" s="889"/>
      <c r="AG44" s="361"/>
      <c r="AH44" s="889" t="s">
        <v>310</v>
      </c>
      <c r="AI44" s="889"/>
      <c r="AJ44" s="889"/>
      <c r="AL44" s="362" t="s">
        <v>312</v>
      </c>
      <c r="AM44" s="888" t="s">
        <v>309</v>
      </c>
      <c r="AN44" s="888"/>
      <c r="AO44" s="888"/>
      <c r="AP44" s="359"/>
      <c r="AQ44" s="888" t="s">
        <v>310</v>
      </c>
      <c r="AR44" s="888"/>
      <c r="AS44" s="888"/>
      <c r="AU44" s="874" t="s">
        <v>309</v>
      </c>
      <c r="AV44" s="874"/>
      <c r="AW44" s="874"/>
      <c r="AY44" s="874" t="s">
        <v>310</v>
      </c>
      <c r="AZ44" s="874"/>
      <c r="BA44" s="874"/>
    </row>
    <row r="45" spans="2:53" s="110" customFormat="1" ht="16.5" thickBot="1" x14ac:dyDescent="0.3">
      <c r="B45" s="870" t="s">
        <v>313</v>
      </c>
      <c r="C45" s="871"/>
      <c r="D45" s="871"/>
      <c r="E45" s="872"/>
      <c r="F45" s="363">
        <v>0.09</v>
      </c>
      <c r="O45" s="364">
        <v>1</v>
      </c>
      <c r="P45" s="364">
        <v>4</v>
      </c>
      <c r="R45" s="336"/>
      <c r="U45" s="365">
        <v>1</v>
      </c>
      <c r="V45" s="366">
        <v>0</v>
      </c>
      <c r="W45" s="367">
        <f t="shared" ref="W45:W63" si="0">+V45/V$64*100</f>
        <v>0</v>
      </c>
      <c r="Y45" s="365">
        <v>1</v>
      </c>
      <c r="Z45" s="366">
        <v>0</v>
      </c>
      <c r="AA45" s="368">
        <f>+Z45/Z$64*100</f>
        <v>0</v>
      </c>
      <c r="AD45" s="365">
        <v>1</v>
      </c>
      <c r="AE45" s="366">
        <v>0</v>
      </c>
      <c r="AF45" s="367">
        <f t="shared" ref="AF45:AF63" si="1">+AE45/AE$64*100</f>
        <v>0</v>
      </c>
      <c r="AH45" s="365">
        <v>1</v>
      </c>
      <c r="AI45" s="366">
        <v>0</v>
      </c>
      <c r="AJ45" s="367">
        <f t="shared" ref="AJ45:AJ63" si="2">+AI45/AI$64*100</f>
        <v>0</v>
      </c>
      <c r="AM45" s="365">
        <v>1</v>
      </c>
      <c r="AN45" s="364">
        <v>4</v>
      </c>
      <c r="AO45" s="367">
        <f t="shared" ref="AO45:AO63" si="3">+AN45/AN$64*100</f>
        <v>5.1282051282051277</v>
      </c>
      <c r="AQ45" s="365">
        <v>1</v>
      </c>
      <c r="AR45" s="364">
        <v>4</v>
      </c>
      <c r="AS45" s="367">
        <f t="shared" ref="AS45:AS63" si="4">+AR45/AR$64*100</f>
        <v>5.7142857142857144</v>
      </c>
      <c r="AU45" s="365">
        <v>1</v>
      </c>
      <c r="AV45" s="364">
        <v>4</v>
      </c>
      <c r="AW45" s="369">
        <f t="shared" ref="AW45:AW63" si="5">+AV45/AV$64*100</f>
        <v>4.2105263157894735</v>
      </c>
      <c r="AY45" s="365">
        <v>1</v>
      </c>
      <c r="AZ45" s="364">
        <v>4</v>
      </c>
      <c r="BA45" s="369">
        <f t="shared" ref="BA45:BA63" si="6">+AZ45/AZ$64*100</f>
        <v>4.5977011494252871</v>
      </c>
    </row>
    <row r="46" spans="2:53" s="110" customFormat="1" ht="16.5" thickBot="1" x14ac:dyDescent="0.3">
      <c r="B46" s="870" t="s">
        <v>314</v>
      </c>
      <c r="C46" s="871"/>
      <c r="D46" s="871"/>
      <c r="E46" s="872"/>
      <c r="F46" s="363">
        <v>1</v>
      </c>
      <c r="O46" s="364">
        <f>+O45+1</f>
        <v>2</v>
      </c>
      <c r="P46" s="364">
        <v>4</v>
      </c>
      <c r="R46" s="336"/>
      <c r="U46" s="365">
        <f>+U45+1</f>
        <v>2</v>
      </c>
      <c r="V46" s="364">
        <v>4</v>
      </c>
      <c r="W46" s="368">
        <f t="shared" si="0"/>
        <v>5.7971014492753623</v>
      </c>
      <c r="Y46" s="365">
        <f>+Y45+1</f>
        <v>2</v>
      </c>
      <c r="Z46" s="366">
        <v>0</v>
      </c>
      <c r="AA46" s="368">
        <f t="shared" ref="AA46:AA63" si="7">+Z46/Z$64*100</f>
        <v>0</v>
      </c>
      <c r="AD46" s="365">
        <f>+AD45+1</f>
        <v>2</v>
      </c>
      <c r="AE46" s="364">
        <v>4</v>
      </c>
      <c r="AF46" s="369">
        <f t="shared" si="1"/>
        <v>4.1666666666666661</v>
      </c>
      <c r="AH46" s="365">
        <f>+AH45+1</f>
        <v>2</v>
      </c>
      <c r="AI46" s="366">
        <v>0</v>
      </c>
      <c r="AJ46" s="367">
        <f t="shared" si="2"/>
        <v>0</v>
      </c>
      <c r="AM46" s="365">
        <f>+AM45+1</f>
        <v>2</v>
      </c>
      <c r="AN46" s="364">
        <v>4</v>
      </c>
      <c r="AO46" s="369">
        <f t="shared" si="3"/>
        <v>5.1282051282051277</v>
      </c>
      <c r="AQ46" s="365">
        <f>+AQ45+1</f>
        <v>2</v>
      </c>
      <c r="AR46" s="366">
        <v>0</v>
      </c>
      <c r="AS46" s="367">
        <f t="shared" si="4"/>
        <v>0</v>
      </c>
      <c r="AU46" s="365">
        <f>+AU45+1</f>
        <v>2</v>
      </c>
      <c r="AV46" s="364">
        <v>4</v>
      </c>
      <c r="AW46" s="369">
        <f t="shared" si="5"/>
        <v>4.2105263157894735</v>
      </c>
      <c r="AY46" s="365">
        <f>+AY45+1</f>
        <v>2</v>
      </c>
      <c r="AZ46" s="366">
        <v>0</v>
      </c>
      <c r="BA46" s="369">
        <f t="shared" si="6"/>
        <v>0</v>
      </c>
    </row>
    <row r="47" spans="2:53" s="110" customFormat="1" ht="15.75" x14ac:dyDescent="0.25">
      <c r="O47" s="364">
        <v>2</v>
      </c>
      <c r="P47" s="364">
        <v>4</v>
      </c>
      <c r="R47" s="336"/>
      <c r="U47" s="365">
        <v>2</v>
      </c>
      <c r="V47" s="364">
        <v>4</v>
      </c>
      <c r="W47" s="368">
        <f t="shared" si="0"/>
        <v>5.7971014492753623</v>
      </c>
      <c r="Y47" s="365">
        <v>2</v>
      </c>
      <c r="Z47" s="366">
        <v>0</v>
      </c>
      <c r="AA47" s="368">
        <f t="shared" si="7"/>
        <v>0</v>
      </c>
      <c r="AD47" s="365">
        <v>2</v>
      </c>
      <c r="AE47" s="364">
        <v>4</v>
      </c>
      <c r="AF47" s="369">
        <f t="shared" si="1"/>
        <v>4.1666666666666661</v>
      </c>
      <c r="AH47" s="365">
        <v>2</v>
      </c>
      <c r="AI47" s="366">
        <v>0</v>
      </c>
      <c r="AJ47" s="367">
        <f t="shared" si="2"/>
        <v>0</v>
      </c>
      <c r="AM47" s="365">
        <v>2</v>
      </c>
      <c r="AN47" s="364">
        <v>4</v>
      </c>
      <c r="AO47" s="369">
        <f t="shared" si="3"/>
        <v>5.1282051282051277</v>
      </c>
      <c r="AQ47" s="365">
        <v>2</v>
      </c>
      <c r="AR47" s="366">
        <v>0</v>
      </c>
      <c r="AS47" s="367">
        <f t="shared" si="4"/>
        <v>0</v>
      </c>
      <c r="AU47" s="365">
        <v>2</v>
      </c>
      <c r="AV47" s="364">
        <v>4</v>
      </c>
      <c r="AW47" s="369">
        <f t="shared" si="5"/>
        <v>4.2105263157894735</v>
      </c>
      <c r="AY47" s="365">
        <v>2</v>
      </c>
      <c r="AZ47" s="366">
        <v>0</v>
      </c>
      <c r="BA47" s="369">
        <f t="shared" si="6"/>
        <v>0</v>
      </c>
    </row>
    <row r="48" spans="2:53" s="110" customFormat="1" ht="15.75" x14ac:dyDescent="0.25">
      <c r="O48" s="364">
        <f>+O47+1</f>
        <v>3</v>
      </c>
      <c r="P48" s="364">
        <v>6</v>
      </c>
      <c r="R48" s="336"/>
      <c r="U48" s="365">
        <f>+U47+1</f>
        <v>3</v>
      </c>
      <c r="V48" s="364">
        <v>6</v>
      </c>
      <c r="W48" s="370">
        <f t="shared" si="0"/>
        <v>8.695652173913043</v>
      </c>
      <c r="Y48" s="365">
        <f>+Y47+1</f>
        <v>3</v>
      </c>
      <c r="Z48" s="364">
        <v>6</v>
      </c>
      <c r="AA48" s="368">
        <f t="shared" si="7"/>
        <v>9.8360655737704921</v>
      </c>
      <c r="AD48" s="365">
        <f>+AD47+1</f>
        <v>3</v>
      </c>
      <c r="AE48" s="364">
        <v>6</v>
      </c>
      <c r="AF48" s="367">
        <f t="shared" si="1"/>
        <v>6.25</v>
      </c>
      <c r="AH48" s="365">
        <f>+AH47+1</f>
        <v>3</v>
      </c>
      <c r="AI48" s="364">
        <v>6</v>
      </c>
      <c r="AJ48" s="367">
        <f t="shared" si="2"/>
        <v>6.8181818181818175</v>
      </c>
      <c r="AM48" s="365">
        <f>+AM47+1</f>
        <v>3</v>
      </c>
      <c r="AN48" s="364">
        <v>6</v>
      </c>
      <c r="AO48" s="367">
        <f t="shared" si="3"/>
        <v>7.6923076923076925</v>
      </c>
      <c r="AQ48" s="365">
        <f>+AQ47+1</f>
        <v>3</v>
      </c>
      <c r="AR48" s="364">
        <v>6</v>
      </c>
      <c r="AS48" s="367">
        <f t="shared" si="4"/>
        <v>8.5714285714285712</v>
      </c>
      <c r="AU48" s="365">
        <f>+AU47+1</f>
        <v>3</v>
      </c>
      <c r="AV48" s="364">
        <v>6</v>
      </c>
      <c r="AW48" s="367">
        <f t="shared" si="5"/>
        <v>6.3157894736842106</v>
      </c>
      <c r="AY48" s="365">
        <f>+AY47+1</f>
        <v>3</v>
      </c>
      <c r="AZ48" s="364">
        <v>6</v>
      </c>
      <c r="BA48" s="367">
        <f t="shared" si="6"/>
        <v>6.8965517241379306</v>
      </c>
    </row>
    <row r="49" spans="3:53" s="110" customFormat="1" ht="15.75" x14ac:dyDescent="0.25">
      <c r="O49" s="364">
        <f>+O48+1</f>
        <v>4</v>
      </c>
      <c r="P49" s="364">
        <v>5</v>
      </c>
      <c r="R49" s="336"/>
      <c r="U49" s="365">
        <f>+U48+1</f>
        <v>4</v>
      </c>
      <c r="V49" s="364">
        <v>5</v>
      </c>
      <c r="W49" s="367">
        <f t="shared" si="0"/>
        <v>7.2463768115942031</v>
      </c>
      <c r="Y49" s="365">
        <f>+Y48+1</f>
        <v>4</v>
      </c>
      <c r="Z49" s="364">
        <v>5</v>
      </c>
      <c r="AA49" s="368">
        <f t="shared" si="7"/>
        <v>8.1967213114754092</v>
      </c>
      <c r="AD49" s="365">
        <f>+AD48+1</f>
        <v>4</v>
      </c>
      <c r="AE49" s="364">
        <v>5</v>
      </c>
      <c r="AF49" s="371">
        <f t="shared" si="1"/>
        <v>5.2083333333333339</v>
      </c>
      <c r="AH49" s="365">
        <f>+AH48+1</f>
        <v>4</v>
      </c>
      <c r="AI49" s="364">
        <v>5</v>
      </c>
      <c r="AJ49" s="367">
        <f t="shared" si="2"/>
        <v>5.6818181818181817</v>
      </c>
      <c r="AM49" s="365">
        <f>+AM48+1</f>
        <v>4</v>
      </c>
      <c r="AN49" s="364">
        <v>5</v>
      </c>
      <c r="AO49" s="371">
        <f t="shared" si="3"/>
        <v>6.4102564102564097</v>
      </c>
      <c r="AQ49" s="365">
        <f>+AQ48+1</f>
        <v>4</v>
      </c>
      <c r="AR49" s="364">
        <v>5</v>
      </c>
      <c r="AS49" s="367">
        <f t="shared" si="4"/>
        <v>7.1428571428571423</v>
      </c>
      <c r="AU49" s="365">
        <f>+AU48+1</f>
        <v>4</v>
      </c>
      <c r="AV49" s="364">
        <v>5</v>
      </c>
      <c r="AW49" s="372">
        <f t="shared" si="5"/>
        <v>5.2631578947368416</v>
      </c>
      <c r="AY49" s="365">
        <f>+AY48+1</f>
        <v>4</v>
      </c>
      <c r="AZ49" s="364">
        <v>5</v>
      </c>
      <c r="BA49" s="367">
        <f t="shared" si="6"/>
        <v>5.7471264367816088</v>
      </c>
    </row>
    <row r="50" spans="3:53" s="110" customFormat="1" ht="15.75" x14ac:dyDescent="0.25">
      <c r="O50" s="364">
        <f>+O49+1</f>
        <v>5</v>
      </c>
      <c r="P50" s="364">
        <v>5</v>
      </c>
      <c r="R50" s="336"/>
      <c r="U50" s="365">
        <f>+U49+1</f>
        <v>5</v>
      </c>
      <c r="V50" s="364">
        <v>5</v>
      </c>
      <c r="W50" s="367">
        <f t="shared" si="0"/>
        <v>7.2463768115942031</v>
      </c>
      <c r="Y50" s="365">
        <f>+Y49+1</f>
        <v>5</v>
      </c>
      <c r="Z50" s="364">
        <v>5</v>
      </c>
      <c r="AA50" s="368">
        <f t="shared" si="7"/>
        <v>8.1967213114754092</v>
      </c>
      <c r="AD50" s="365">
        <f>+AD49+1</f>
        <v>5</v>
      </c>
      <c r="AE50" s="364">
        <v>5</v>
      </c>
      <c r="AF50" s="371">
        <f t="shared" si="1"/>
        <v>5.2083333333333339</v>
      </c>
      <c r="AH50" s="365">
        <f>+AH49+1</f>
        <v>5</v>
      </c>
      <c r="AI50" s="364">
        <v>5</v>
      </c>
      <c r="AJ50" s="367">
        <f t="shared" si="2"/>
        <v>5.6818181818181817</v>
      </c>
      <c r="AM50" s="365">
        <f>+AM49+1</f>
        <v>5</v>
      </c>
      <c r="AN50" s="364">
        <v>5</v>
      </c>
      <c r="AO50" s="371">
        <f t="shared" si="3"/>
        <v>6.4102564102564097</v>
      </c>
      <c r="AQ50" s="365">
        <f>+AQ49+1</f>
        <v>5</v>
      </c>
      <c r="AR50" s="364">
        <v>5</v>
      </c>
      <c r="AS50" s="367">
        <f t="shared" si="4"/>
        <v>7.1428571428571423</v>
      </c>
      <c r="AU50" s="365">
        <f>+AU49+1</f>
        <v>5</v>
      </c>
      <c r="AV50" s="364">
        <v>5</v>
      </c>
      <c r="AW50" s="372">
        <f t="shared" si="5"/>
        <v>5.2631578947368416</v>
      </c>
      <c r="AY50" s="365">
        <f>+AY49+1</f>
        <v>5</v>
      </c>
      <c r="AZ50" s="364">
        <v>5</v>
      </c>
      <c r="BA50" s="367">
        <f t="shared" si="6"/>
        <v>5.7471264367816088</v>
      </c>
    </row>
    <row r="51" spans="3:53" ht="15.75" x14ac:dyDescent="0.25">
      <c r="O51" s="364">
        <f>+O50+1</f>
        <v>6</v>
      </c>
      <c r="P51" s="364">
        <v>6</v>
      </c>
      <c r="U51" s="365">
        <f>+U50+1</f>
        <v>6</v>
      </c>
      <c r="V51" s="364">
        <v>6</v>
      </c>
      <c r="W51" s="370">
        <f t="shared" si="0"/>
        <v>8.695652173913043</v>
      </c>
      <c r="Y51" s="365">
        <f>+Y50+1</f>
        <v>6</v>
      </c>
      <c r="Z51" s="364">
        <v>6</v>
      </c>
      <c r="AA51" s="368">
        <f t="shared" si="7"/>
        <v>9.8360655737704921</v>
      </c>
      <c r="AD51" s="365">
        <f>+AD50+1</f>
        <v>6</v>
      </c>
      <c r="AE51" s="364">
        <v>6</v>
      </c>
      <c r="AF51" s="367">
        <f t="shared" si="1"/>
        <v>6.25</v>
      </c>
      <c r="AH51" s="365">
        <f>+AH50+1</f>
        <v>6</v>
      </c>
      <c r="AI51" s="364">
        <v>6</v>
      </c>
      <c r="AJ51" s="367">
        <f t="shared" si="2"/>
        <v>6.8181818181818175</v>
      </c>
      <c r="AM51" s="365">
        <f>+AM50+1</f>
        <v>6</v>
      </c>
      <c r="AN51" s="364">
        <v>6</v>
      </c>
      <c r="AO51" s="367">
        <f t="shared" si="3"/>
        <v>7.6923076923076925</v>
      </c>
      <c r="AQ51" s="365">
        <f>+AQ50+1</f>
        <v>6</v>
      </c>
      <c r="AR51" s="364">
        <v>6</v>
      </c>
      <c r="AS51" s="367">
        <f t="shared" si="4"/>
        <v>8.5714285714285712</v>
      </c>
      <c r="AU51" s="365">
        <f>+AU50+1</f>
        <v>6</v>
      </c>
      <c r="AV51" s="364">
        <v>6</v>
      </c>
      <c r="AW51" s="367">
        <f t="shared" si="5"/>
        <v>6.3157894736842106</v>
      </c>
      <c r="AY51" s="365">
        <f>+AY50+1</f>
        <v>6</v>
      </c>
      <c r="AZ51" s="364">
        <v>6</v>
      </c>
      <c r="BA51" s="367">
        <f t="shared" si="6"/>
        <v>6.8965517241379306</v>
      </c>
    </row>
    <row r="52" spans="3:53" ht="15.75" x14ac:dyDescent="0.25">
      <c r="E52" t="s">
        <v>188</v>
      </c>
      <c r="F52" t="s">
        <v>521</v>
      </c>
      <c r="O52" s="364">
        <v>6</v>
      </c>
      <c r="P52" s="364">
        <v>6</v>
      </c>
      <c r="U52" s="365">
        <v>6</v>
      </c>
      <c r="V52" s="364">
        <v>6</v>
      </c>
      <c r="W52" s="370">
        <f t="shared" si="0"/>
        <v>8.695652173913043</v>
      </c>
      <c r="Y52" s="365">
        <v>6</v>
      </c>
      <c r="Z52" s="364">
        <v>6</v>
      </c>
      <c r="AA52" s="368">
        <f t="shared" si="7"/>
        <v>9.8360655737704921</v>
      </c>
      <c r="AD52" s="365">
        <v>6</v>
      </c>
      <c r="AE52" s="364">
        <v>6</v>
      </c>
      <c r="AF52" s="367">
        <f t="shared" si="1"/>
        <v>6.25</v>
      </c>
      <c r="AH52" s="365">
        <v>6</v>
      </c>
      <c r="AI52" s="364">
        <v>6</v>
      </c>
      <c r="AJ52" s="367">
        <f t="shared" si="2"/>
        <v>6.8181818181818175</v>
      </c>
      <c r="AM52" s="365">
        <v>6</v>
      </c>
      <c r="AN52" s="364">
        <v>6</v>
      </c>
      <c r="AO52" s="367">
        <f t="shared" si="3"/>
        <v>7.6923076923076925</v>
      </c>
      <c r="AQ52" s="365">
        <v>6</v>
      </c>
      <c r="AR52" s="364">
        <v>6</v>
      </c>
      <c r="AS52" s="367">
        <f t="shared" si="4"/>
        <v>8.5714285714285712</v>
      </c>
      <c r="AU52" s="365">
        <v>6</v>
      </c>
      <c r="AV52" s="364">
        <v>6</v>
      </c>
      <c r="AW52" s="367">
        <f t="shared" si="5"/>
        <v>6.3157894736842106</v>
      </c>
      <c r="AY52" s="365">
        <v>6</v>
      </c>
      <c r="AZ52" s="364">
        <v>6</v>
      </c>
      <c r="BA52" s="367">
        <f t="shared" si="6"/>
        <v>6.8965517241379306</v>
      </c>
    </row>
    <row r="53" spans="3:53" ht="15.75" x14ac:dyDescent="0.25">
      <c r="C53" s="639"/>
      <c r="D53" s="639" t="s">
        <v>464</v>
      </c>
      <c r="E53" s="639">
        <v>4</v>
      </c>
      <c r="F53" s="639">
        <v>24</v>
      </c>
      <c r="O53" s="364">
        <f>+O52+1</f>
        <v>7</v>
      </c>
      <c r="P53" s="364">
        <v>5</v>
      </c>
      <c r="U53" s="365">
        <f>+U52+1</f>
        <v>7</v>
      </c>
      <c r="V53" s="364">
        <v>5</v>
      </c>
      <c r="W53" s="367">
        <f t="shared" si="0"/>
        <v>7.2463768115942031</v>
      </c>
      <c r="Y53" s="365">
        <f>+Y52+1</f>
        <v>7</v>
      </c>
      <c r="Z53" s="364">
        <v>5</v>
      </c>
      <c r="AA53" s="368">
        <f t="shared" si="7"/>
        <v>8.1967213114754092</v>
      </c>
      <c r="AD53" s="365">
        <f>+AD52+1</f>
        <v>7</v>
      </c>
      <c r="AE53" s="364">
        <v>5</v>
      </c>
      <c r="AF53" s="371">
        <f t="shared" si="1"/>
        <v>5.2083333333333339</v>
      </c>
      <c r="AH53" s="365">
        <f>+AH52+1</f>
        <v>7</v>
      </c>
      <c r="AI53" s="364">
        <v>5</v>
      </c>
      <c r="AJ53" s="367">
        <f t="shared" si="2"/>
        <v>5.6818181818181817</v>
      </c>
      <c r="AM53" s="365">
        <f>+AM52+1</f>
        <v>7</v>
      </c>
      <c r="AN53" s="364">
        <v>5</v>
      </c>
      <c r="AO53" s="371">
        <f t="shared" si="3"/>
        <v>6.4102564102564097</v>
      </c>
      <c r="AQ53" s="365">
        <f>+AQ52+1</f>
        <v>7</v>
      </c>
      <c r="AR53" s="364">
        <v>5</v>
      </c>
      <c r="AS53" s="367">
        <f t="shared" si="4"/>
        <v>7.1428571428571423</v>
      </c>
      <c r="AU53" s="365">
        <f>+AU52+1</f>
        <v>7</v>
      </c>
      <c r="AV53" s="364">
        <v>5</v>
      </c>
      <c r="AW53" s="372">
        <f t="shared" si="5"/>
        <v>5.2631578947368416</v>
      </c>
      <c r="AY53" s="365">
        <f>+AY52+1</f>
        <v>7</v>
      </c>
      <c r="AZ53" s="364">
        <v>5</v>
      </c>
      <c r="BA53" s="367">
        <f t="shared" si="6"/>
        <v>5.7471264367816088</v>
      </c>
    </row>
    <row r="54" spans="3:53" ht="15.75" x14ac:dyDescent="0.25">
      <c r="C54" s="639" t="s">
        <v>315</v>
      </c>
      <c r="D54" s="663">
        <v>0.7</v>
      </c>
      <c r="E54" s="744">
        <v>5</v>
      </c>
      <c r="F54" s="744">
        <v>30</v>
      </c>
      <c r="O54" s="364">
        <f>+O53+1</f>
        <v>8</v>
      </c>
      <c r="P54" s="364">
        <v>6</v>
      </c>
      <c r="U54" s="365">
        <f>+U53+1</f>
        <v>8</v>
      </c>
      <c r="V54" s="364">
        <v>6</v>
      </c>
      <c r="W54" s="370">
        <f t="shared" si="0"/>
        <v>8.695652173913043</v>
      </c>
      <c r="Y54" s="365">
        <f>+Y53+1</f>
        <v>8</v>
      </c>
      <c r="Z54" s="364">
        <v>6</v>
      </c>
      <c r="AA54" s="368">
        <f t="shared" si="7"/>
        <v>9.8360655737704921</v>
      </c>
      <c r="AD54" s="365">
        <f>+AD53+1</f>
        <v>8</v>
      </c>
      <c r="AE54" s="364">
        <v>6</v>
      </c>
      <c r="AF54" s="367">
        <f t="shared" si="1"/>
        <v>6.25</v>
      </c>
      <c r="AH54" s="365">
        <f>+AH53+1</f>
        <v>8</v>
      </c>
      <c r="AI54" s="364">
        <v>6</v>
      </c>
      <c r="AJ54" s="367">
        <f t="shared" si="2"/>
        <v>6.8181818181818175</v>
      </c>
      <c r="AM54" s="365">
        <f>+AM53+1</f>
        <v>8</v>
      </c>
      <c r="AN54" s="364">
        <v>6</v>
      </c>
      <c r="AO54" s="367">
        <f t="shared" si="3"/>
        <v>7.6923076923076925</v>
      </c>
      <c r="AQ54" s="365">
        <f>+AQ53+1</f>
        <v>8</v>
      </c>
      <c r="AR54" s="364">
        <v>6</v>
      </c>
      <c r="AS54" s="367">
        <f t="shared" si="4"/>
        <v>8.5714285714285712</v>
      </c>
      <c r="AU54" s="365">
        <f>+AU53+1</f>
        <v>8</v>
      </c>
      <c r="AV54" s="364">
        <v>6</v>
      </c>
      <c r="AW54" s="367">
        <f t="shared" si="5"/>
        <v>6.3157894736842106</v>
      </c>
      <c r="AY54" s="365">
        <f>+AY53+1</f>
        <v>8</v>
      </c>
      <c r="AZ54" s="364">
        <v>6</v>
      </c>
      <c r="BA54" s="367">
        <f t="shared" si="6"/>
        <v>6.8965517241379306</v>
      </c>
    </row>
    <row r="55" spans="3:53" ht="77.25" x14ac:dyDescent="0.25">
      <c r="C55" s="779" t="s">
        <v>316</v>
      </c>
      <c r="D55" s="639"/>
      <c r="E55" s="639">
        <v>6</v>
      </c>
      <c r="F55" s="639">
        <v>40</v>
      </c>
      <c r="O55" s="364">
        <f>+O54+1</f>
        <v>9</v>
      </c>
      <c r="P55" s="364">
        <v>5</v>
      </c>
      <c r="U55" s="365">
        <f>+U54+1</f>
        <v>9</v>
      </c>
      <c r="V55" s="364">
        <v>5</v>
      </c>
      <c r="W55" s="367">
        <f t="shared" si="0"/>
        <v>7.2463768115942031</v>
      </c>
      <c r="Y55" s="365">
        <f>+Y54+1</f>
        <v>9</v>
      </c>
      <c r="Z55" s="364">
        <v>5</v>
      </c>
      <c r="AA55" s="368">
        <f t="shared" si="7"/>
        <v>8.1967213114754092</v>
      </c>
      <c r="AD55" s="365">
        <f>+AD54+1</f>
        <v>9</v>
      </c>
      <c r="AE55" s="364">
        <v>5</v>
      </c>
      <c r="AF55" s="371">
        <f t="shared" si="1"/>
        <v>5.2083333333333339</v>
      </c>
      <c r="AH55" s="365">
        <f>+AH54+1</f>
        <v>9</v>
      </c>
      <c r="AI55" s="364">
        <v>5</v>
      </c>
      <c r="AJ55" s="367">
        <f t="shared" si="2"/>
        <v>5.6818181818181817</v>
      </c>
      <c r="AM55" s="365">
        <f>+AM54+1</f>
        <v>9</v>
      </c>
      <c r="AN55" s="364">
        <v>5</v>
      </c>
      <c r="AO55" s="371">
        <f t="shared" si="3"/>
        <v>6.4102564102564097</v>
      </c>
      <c r="AQ55" s="365">
        <f>+AQ54+1</f>
        <v>9</v>
      </c>
      <c r="AR55" s="364">
        <v>5</v>
      </c>
      <c r="AS55" s="367">
        <f t="shared" si="4"/>
        <v>7.1428571428571423</v>
      </c>
      <c r="AU55" s="365">
        <f>+AU54+1</f>
        <v>9</v>
      </c>
      <c r="AV55" s="364">
        <v>5</v>
      </c>
      <c r="AW55" s="372">
        <f t="shared" si="5"/>
        <v>5.2631578947368416</v>
      </c>
      <c r="AY55" s="365">
        <f>+AY54+1</f>
        <v>9</v>
      </c>
      <c r="AZ55" s="364">
        <v>5</v>
      </c>
      <c r="BA55" s="367">
        <f t="shared" si="6"/>
        <v>5.7471264367816088</v>
      </c>
    </row>
    <row r="56" spans="3:53" ht="15.75" x14ac:dyDescent="0.25">
      <c r="C56" s="780" t="s">
        <v>499</v>
      </c>
      <c r="D56" s="639"/>
      <c r="E56" s="744">
        <v>7</v>
      </c>
      <c r="F56" s="744">
        <v>50</v>
      </c>
      <c r="H56" s="373">
        <v>4</v>
      </c>
      <c r="I56" s="373">
        <v>15</v>
      </c>
      <c r="O56" s="364">
        <f>+O55+1</f>
        <v>10</v>
      </c>
      <c r="P56" s="364">
        <v>6</v>
      </c>
      <c r="U56" s="365">
        <f>+U55+1</f>
        <v>10</v>
      </c>
      <c r="V56" s="364">
        <v>6</v>
      </c>
      <c r="W56" s="370">
        <f t="shared" si="0"/>
        <v>8.695652173913043</v>
      </c>
      <c r="Y56" s="365">
        <f>+Y55+1</f>
        <v>10</v>
      </c>
      <c r="Z56" s="364">
        <v>6</v>
      </c>
      <c r="AA56" s="368">
        <f t="shared" si="7"/>
        <v>9.8360655737704921</v>
      </c>
      <c r="AD56" s="365">
        <f>+AD55+1</f>
        <v>10</v>
      </c>
      <c r="AE56" s="364">
        <v>6</v>
      </c>
      <c r="AF56" s="367">
        <f t="shared" si="1"/>
        <v>6.25</v>
      </c>
      <c r="AH56" s="365">
        <f>+AH55+1</f>
        <v>10</v>
      </c>
      <c r="AI56" s="364">
        <v>6</v>
      </c>
      <c r="AJ56" s="367">
        <f t="shared" si="2"/>
        <v>6.8181818181818175</v>
      </c>
      <c r="AM56" s="365">
        <f>+AM55+1</f>
        <v>10</v>
      </c>
      <c r="AN56" s="364">
        <v>6</v>
      </c>
      <c r="AO56" s="367">
        <f t="shared" si="3"/>
        <v>7.6923076923076925</v>
      </c>
      <c r="AQ56" s="365">
        <f>+AQ55+1</f>
        <v>10</v>
      </c>
      <c r="AR56" s="364">
        <v>6</v>
      </c>
      <c r="AS56" s="367">
        <f t="shared" si="4"/>
        <v>8.5714285714285712</v>
      </c>
      <c r="AU56" s="365">
        <f>+AU55+1</f>
        <v>10</v>
      </c>
      <c r="AV56" s="364">
        <v>6</v>
      </c>
      <c r="AW56" s="367">
        <f t="shared" si="5"/>
        <v>6.3157894736842106</v>
      </c>
      <c r="AY56" s="365">
        <f>+AY55+1</f>
        <v>10</v>
      </c>
      <c r="AZ56" s="364">
        <v>6</v>
      </c>
      <c r="BA56" s="367">
        <f t="shared" si="6"/>
        <v>6.8965517241379306</v>
      </c>
    </row>
    <row r="57" spans="3:53" ht="15.75" x14ac:dyDescent="0.25">
      <c r="C57" s="639" t="s">
        <v>317</v>
      </c>
      <c r="D57" s="639"/>
      <c r="E57" s="639">
        <v>8</v>
      </c>
      <c r="F57" s="639">
        <v>60</v>
      </c>
      <c r="H57">
        <v>5</v>
      </c>
      <c r="I57">
        <v>27</v>
      </c>
      <c r="O57" s="364">
        <v>12</v>
      </c>
      <c r="P57" s="364">
        <v>5</v>
      </c>
      <c r="U57" s="365">
        <v>12</v>
      </c>
      <c r="V57" s="366">
        <v>0</v>
      </c>
      <c r="W57" s="367">
        <f t="shared" si="0"/>
        <v>0</v>
      </c>
      <c r="Y57" s="365">
        <v>12</v>
      </c>
      <c r="Z57" s="366">
        <v>0</v>
      </c>
      <c r="AA57" s="368">
        <f t="shared" si="7"/>
        <v>0</v>
      </c>
      <c r="AD57" s="365">
        <v>12</v>
      </c>
      <c r="AE57" s="366">
        <v>5</v>
      </c>
      <c r="AF57" s="371">
        <f t="shared" si="1"/>
        <v>5.2083333333333339</v>
      </c>
      <c r="AH57" s="365">
        <v>12</v>
      </c>
      <c r="AI57" s="366">
        <v>5</v>
      </c>
      <c r="AJ57" s="367">
        <f t="shared" si="2"/>
        <v>5.6818181818181817</v>
      </c>
      <c r="AM57" s="365">
        <v>12</v>
      </c>
      <c r="AN57" s="364">
        <v>5</v>
      </c>
      <c r="AO57" s="371">
        <f t="shared" si="3"/>
        <v>6.4102564102564097</v>
      </c>
      <c r="AQ57" s="365">
        <v>12</v>
      </c>
      <c r="AR57" s="364">
        <v>5</v>
      </c>
      <c r="AS57" s="367">
        <f t="shared" si="4"/>
        <v>7.1428571428571423</v>
      </c>
      <c r="AU57" s="365">
        <v>12</v>
      </c>
      <c r="AV57" s="366"/>
      <c r="AW57" s="367">
        <f t="shared" si="5"/>
        <v>0</v>
      </c>
      <c r="AY57" s="365">
        <v>12</v>
      </c>
      <c r="AZ57" s="366"/>
      <c r="BA57" s="367">
        <f t="shared" si="6"/>
        <v>0</v>
      </c>
    </row>
    <row r="58" spans="3:53" ht="15.75" x14ac:dyDescent="0.25">
      <c r="C58" s="639" t="s">
        <v>318</v>
      </c>
      <c r="D58" s="639"/>
      <c r="E58" s="744">
        <v>9</v>
      </c>
      <c r="F58" s="744">
        <v>70</v>
      </c>
      <c r="H58">
        <v>6</v>
      </c>
      <c r="I58">
        <v>39</v>
      </c>
      <c r="O58" s="364">
        <f t="shared" ref="O58:O63" si="8">+O57+1</f>
        <v>13</v>
      </c>
      <c r="P58" s="364">
        <v>6</v>
      </c>
      <c r="U58" s="365">
        <f t="shared" ref="U58:U63" si="9">+U57+1</f>
        <v>13</v>
      </c>
      <c r="V58" s="364">
        <v>6</v>
      </c>
      <c r="W58" s="370">
        <f t="shared" si="0"/>
        <v>8.695652173913043</v>
      </c>
      <c r="Y58" s="365">
        <f t="shared" ref="Y58:Y63" si="10">+Y57+1</f>
        <v>13</v>
      </c>
      <c r="Z58" s="364">
        <v>6</v>
      </c>
      <c r="AA58" s="368">
        <f t="shared" si="7"/>
        <v>9.8360655737704921</v>
      </c>
      <c r="AD58" s="365">
        <f t="shared" ref="AD58:AD63" si="11">+AD57+1</f>
        <v>13</v>
      </c>
      <c r="AE58" s="364">
        <v>6</v>
      </c>
      <c r="AF58" s="367">
        <f t="shared" si="1"/>
        <v>6.25</v>
      </c>
      <c r="AH58" s="365">
        <f t="shared" ref="AH58:AH63" si="12">+AH57+1</f>
        <v>13</v>
      </c>
      <c r="AI58" s="364">
        <v>6</v>
      </c>
      <c r="AJ58" s="367">
        <f t="shared" si="2"/>
        <v>6.8181818181818175</v>
      </c>
      <c r="AM58" s="365">
        <f t="shared" ref="AM58:AM63" si="13">+AM57+1</f>
        <v>13</v>
      </c>
      <c r="AN58" s="364">
        <v>6</v>
      </c>
      <c r="AO58" s="367">
        <f t="shared" si="3"/>
        <v>7.6923076923076925</v>
      </c>
      <c r="AQ58" s="365">
        <f t="shared" ref="AQ58:AQ63" si="14">+AQ57+1</f>
        <v>13</v>
      </c>
      <c r="AR58" s="364">
        <v>6</v>
      </c>
      <c r="AS58" s="367">
        <f t="shared" si="4"/>
        <v>8.5714285714285712</v>
      </c>
      <c r="AU58" s="365">
        <f t="shared" ref="AU58:AU63" si="15">+AU57+1</f>
        <v>13</v>
      </c>
      <c r="AV58" s="364">
        <v>6</v>
      </c>
      <c r="AW58" s="367">
        <f t="shared" si="5"/>
        <v>6.3157894736842106</v>
      </c>
      <c r="AY58" s="365">
        <f t="shared" ref="AY58:AY63" si="16">+AY57+1</f>
        <v>13</v>
      </c>
      <c r="AZ58" s="364">
        <v>6</v>
      </c>
      <c r="BA58" s="367">
        <f t="shared" si="6"/>
        <v>6.8965517241379306</v>
      </c>
    </row>
    <row r="59" spans="3:53" ht="15.75" x14ac:dyDescent="0.25">
      <c r="C59" s="639" t="s">
        <v>319</v>
      </c>
      <c r="D59" s="639"/>
      <c r="E59" s="639">
        <v>10</v>
      </c>
      <c r="F59" s="639">
        <v>80</v>
      </c>
      <c r="H59" s="373">
        <v>7</v>
      </c>
      <c r="I59" s="373">
        <v>50</v>
      </c>
      <c r="O59" s="364">
        <f t="shared" si="8"/>
        <v>14</v>
      </c>
      <c r="P59" s="364">
        <v>6</v>
      </c>
      <c r="U59" s="365">
        <f t="shared" si="9"/>
        <v>14</v>
      </c>
      <c r="V59" s="366">
        <v>0</v>
      </c>
      <c r="W59" s="367">
        <f t="shared" si="0"/>
        <v>0</v>
      </c>
      <c r="Y59" s="365">
        <f t="shared" si="10"/>
        <v>14</v>
      </c>
      <c r="Z59" s="366">
        <v>0</v>
      </c>
      <c r="AA59" s="368">
        <f t="shared" si="7"/>
        <v>0</v>
      </c>
      <c r="AD59" s="365">
        <f t="shared" si="11"/>
        <v>14</v>
      </c>
      <c r="AE59" s="366">
        <v>6</v>
      </c>
      <c r="AF59" s="367">
        <f t="shared" si="1"/>
        <v>6.25</v>
      </c>
      <c r="AH59" s="365">
        <f t="shared" si="12"/>
        <v>14</v>
      </c>
      <c r="AI59" s="366">
        <v>6</v>
      </c>
      <c r="AJ59" s="367">
        <f t="shared" si="2"/>
        <v>6.8181818181818175</v>
      </c>
      <c r="AM59" s="365">
        <f t="shared" si="13"/>
        <v>14</v>
      </c>
      <c r="AN59" s="366">
        <v>0</v>
      </c>
      <c r="AO59" s="367">
        <f t="shared" si="3"/>
        <v>0</v>
      </c>
      <c r="AQ59" s="365">
        <f t="shared" si="14"/>
        <v>14</v>
      </c>
      <c r="AR59" s="366">
        <v>0</v>
      </c>
      <c r="AS59" s="367">
        <f t="shared" si="4"/>
        <v>0</v>
      </c>
      <c r="AU59" s="365">
        <f t="shared" si="15"/>
        <v>14</v>
      </c>
      <c r="AV59" s="364">
        <v>6</v>
      </c>
      <c r="AW59" s="367">
        <f t="shared" si="5"/>
        <v>6.3157894736842106</v>
      </c>
      <c r="AY59" s="365">
        <f t="shared" si="16"/>
        <v>14</v>
      </c>
      <c r="AZ59" s="364">
        <v>6</v>
      </c>
      <c r="BA59" s="367">
        <f t="shared" si="6"/>
        <v>6.8965517241379306</v>
      </c>
    </row>
    <row r="60" spans="3:53" ht="15.75" x14ac:dyDescent="0.25">
      <c r="C60" s="639"/>
      <c r="D60" s="639"/>
      <c r="E60" s="639">
        <v>11</v>
      </c>
      <c r="F60" s="639">
        <v>90</v>
      </c>
      <c r="H60">
        <v>8</v>
      </c>
      <c r="I60">
        <v>60</v>
      </c>
      <c r="O60" s="364">
        <f t="shared" si="8"/>
        <v>15</v>
      </c>
      <c r="P60" s="364">
        <v>6</v>
      </c>
      <c r="U60" s="365">
        <f t="shared" si="9"/>
        <v>15</v>
      </c>
      <c r="V60" s="366">
        <v>0</v>
      </c>
      <c r="W60" s="367">
        <f t="shared" si="0"/>
        <v>0</v>
      </c>
      <c r="Y60" s="365">
        <f t="shared" si="10"/>
        <v>15</v>
      </c>
      <c r="Z60" s="366">
        <v>0</v>
      </c>
      <c r="AA60" s="368">
        <f t="shared" si="7"/>
        <v>0</v>
      </c>
      <c r="AD60" s="365">
        <f t="shared" si="11"/>
        <v>15</v>
      </c>
      <c r="AE60" s="366">
        <v>6</v>
      </c>
      <c r="AF60" s="367">
        <f t="shared" si="1"/>
        <v>6.25</v>
      </c>
      <c r="AH60" s="365">
        <f t="shared" si="12"/>
        <v>15</v>
      </c>
      <c r="AI60" s="366">
        <v>6</v>
      </c>
      <c r="AJ60" s="367">
        <f t="shared" si="2"/>
        <v>6.8181818181818175</v>
      </c>
      <c r="AM60" s="365">
        <f t="shared" si="13"/>
        <v>15</v>
      </c>
      <c r="AN60" s="366">
        <v>0</v>
      </c>
      <c r="AO60" s="367">
        <f t="shared" si="3"/>
        <v>0</v>
      </c>
      <c r="AQ60" s="365">
        <f t="shared" si="14"/>
        <v>15</v>
      </c>
      <c r="AR60" s="366">
        <v>0</v>
      </c>
      <c r="AS60" s="367">
        <f t="shared" si="4"/>
        <v>0</v>
      </c>
      <c r="AU60" s="365">
        <f t="shared" si="15"/>
        <v>15</v>
      </c>
      <c r="AV60" s="364">
        <v>6</v>
      </c>
      <c r="AW60" s="367">
        <f t="shared" si="5"/>
        <v>6.3157894736842106</v>
      </c>
      <c r="AY60" s="365">
        <f t="shared" si="16"/>
        <v>15</v>
      </c>
      <c r="AZ60" s="364">
        <v>6</v>
      </c>
      <c r="BA60" s="367">
        <f t="shared" si="6"/>
        <v>6.8965517241379306</v>
      </c>
    </row>
    <row r="61" spans="3:53" ht="15.75" x14ac:dyDescent="0.25">
      <c r="C61" s="639"/>
      <c r="D61" s="639"/>
      <c r="E61" s="744">
        <v>12</v>
      </c>
      <c r="F61" s="744">
        <v>100</v>
      </c>
      <c r="H61" s="373">
        <v>9</v>
      </c>
      <c r="I61" s="373">
        <v>70</v>
      </c>
      <c r="O61" s="364">
        <f t="shared" si="8"/>
        <v>16</v>
      </c>
      <c r="P61" s="364">
        <v>6</v>
      </c>
      <c r="U61" s="365">
        <f t="shared" si="9"/>
        <v>16</v>
      </c>
      <c r="V61" s="366">
        <v>0</v>
      </c>
      <c r="W61" s="367">
        <f t="shared" si="0"/>
        <v>0</v>
      </c>
      <c r="Y61" s="365">
        <f t="shared" si="10"/>
        <v>16</v>
      </c>
      <c r="Z61" s="366">
        <v>0</v>
      </c>
      <c r="AA61" s="368">
        <f t="shared" si="7"/>
        <v>0</v>
      </c>
      <c r="AD61" s="365">
        <f t="shared" si="11"/>
        <v>16</v>
      </c>
      <c r="AE61" s="366">
        <v>6</v>
      </c>
      <c r="AF61" s="367">
        <f t="shared" si="1"/>
        <v>6.25</v>
      </c>
      <c r="AH61" s="365">
        <f t="shared" si="12"/>
        <v>16</v>
      </c>
      <c r="AI61" s="366">
        <v>6</v>
      </c>
      <c r="AJ61" s="367">
        <f t="shared" si="2"/>
        <v>6.8181818181818175</v>
      </c>
      <c r="AM61" s="365">
        <f t="shared" si="13"/>
        <v>16</v>
      </c>
      <c r="AN61" s="366">
        <v>0</v>
      </c>
      <c r="AO61" s="367">
        <f t="shared" si="3"/>
        <v>0</v>
      </c>
      <c r="AQ61" s="365">
        <f t="shared" si="14"/>
        <v>16</v>
      </c>
      <c r="AR61" s="366">
        <v>0</v>
      </c>
      <c r="AS61" s="367">
        <f t="shared" si="4"/>
        <v>0</v>
      </c>
      <c r="AU61" s="365">
        <f t="shared" si="15"/>
        <v>16</v>
      </c>
      <c r="AV61" s="364">
        <v>6</v>
      </c>
      <c r="AW61" s="367">
        <f t="shared" si="5"/>
        <v>6.3157894736842106</v>
      </c>
      <c r="AY61" s="365">
        <f t="shared" si="16"/>
        <v>16</v>
      </c>
      <c r="AZ61" s="364">
        <v>6</v>
      </c>
      <c r="BA61" s="367">
        <f t="shared" si="6"/>
        <v>6.8965517241379306</v>
      </c>
    </row>
    <row r="62" spans="3:53" ht="15.75" x14ac:dyDescent="0.25">
      <c r="C62" t="s">
        <v>315</v>
      </c>
      <c r="H62">
        <v>10</v>
      </c>
      <c r="I62">
        <v>80</v>
      </c>
      <c r="O62" s="364">
        <f t="shared" si="8"/>
        <v>17</v>
      </c>
      <c r="P62" s="364">
        <v>5</v>
      </c>
      <c r="U62" s="365">
        <f t="shared" si="9"/>
        <v>17</v>
      </c>
      <c r="V62" s="364">
        <v>5</v>
      </c>
      <c r="W62" s="367">
        <f t="shared" si="0"/>
        <v>7.2463768115942031</v>
      </c>
      <c r="Y62" s="365">
        <f t="shared" si="10"/>
        <v>17</v>
      </c>
      <c r="Z62" s="364">
        <v>5</v>
      </c>
      <c r="AA62" s="368">
        <f t="shared" si="7"/>
        <v>8.1967213114754092</v>
      </c>
      <c r="AD62" s="365">
        <f t="shared" si="11"/>
        <v>17</v>
      </c>
      <c r="AE62" s="364">
        <v>5</v>
      </c>
      <c r="AF62" s="371">
        <f t="shared" si="1"/>
        <v>5.2083333333333339</v>
      </c>
      <c r="AH62" s="365">
        <f t="shared" si="12"/>
        <v>17</v>
      </c>
      <c r="AI62" s="364">
        <v>5</v>
      </c>
      <c r="AJ62" s="367">
        <f t="shared" si="2"/>
        <v>5.6818181818181817</v>
      </c>
      <c r="AM62" s="365">
        <f t="shared" si="13"/>
        <v>17</v>
      </c>
      <c r="AN62" s="364">
        <v>5</v>
      </c>
      <c r="AO62" s="371">
        <f t="shared" si="3"/>
        <v>6.4102564102564097</v>
      </c>
      <c r="AQ62" s="365">
        <f t="shared" si="14"/>
        <v>17</v>
      </c>
      <c r="AR62" s="364">
        <v>5</v>
      </c>
      <c r="AS62" s="367">
        <f t="shared" si="4"/>
        <v>7.1428571428571423</v>
      </c>
      <c r="AU62" s="365">
        <f t="shared" si="15"/>
        <v>17</v>
      </c>
      <c r="AV62" s="364">
        <v>5</v>
      </c>
      <c r="AW62" s="372">
        <f t="shared" si="5"/>
        <v>5.2631578947368416</v>
      </c>
      <c r="AY62" s="365">
        <f t="shared" si="16"/>
        <v>17</v>
      </c>
      <c r="AZ62" s="364">
        <v>5</v>
      </c>
      <c r="BA62" s="367">
        <f t="shared" si="6"/>
        <v>5.7471264367816088</v>
      </c>
    </row>
    <row r="63" spans="3:53" ht="15.75" x14ac:dyDescent="0.25">
      <c r="C63" t="s">
        <v>316</v>
      </c>
      <c r="H63">
        <v>11</v>
      </c>
      <c r="I63">
        <v>90</v>
      </c>
      <c r="O63" s="364">
        <f t="shared" si="8"/>
        <v>18</v>
      </c>
      <c r="P63" s="364">
        <v>4</v>
      </c>
      <c r="U63" s="365">
        <f t="shared" si="9"/>
        <v>18</v>
      </c>
      <c r="V63" s="366">
        <v>0</v>
      </c>
      <c r="W63" s="367">
        <f t="shared" si="0"/>
        <v>0</v>
      </c>
      <c r="Y63" s="365">
        <f t="shared" si="10"/>
        <v>18</v>
      </c>
      <c r="Z63" s="366">
        <v>0</v>
      </c>
      <c r="AA63" s="368">
        <f t="shared" si="7"/>
        <v>0</v>
      </c>
      <c r="AD63" s="365">
        <f t="shared" si="11"/>
        <v>18</v>
      </c>
      <c r="AE63" s="366">
        <v>4</v>
      </c>
      <c r="AF63" s="369">
        <f t="shared" si="1"/>
        <v>4.1666666666666661</v>
      </c>
      <c r="AH63" s="365">
        <f t="shared" si="12"/>
        <v>18</v>
      </c>
      <c r="AI63" s="366">
        <v>4</v>
      </c>
      <c r="AJ63" s="367">
        <f t="shared" si="2"/>
        <v>4.5454545454545459</v>
      </c>
      <c r="AM63" s="365">
        <f t="shared" si="13"/>
        <v>18</v>
      </c>
      <c r="AN63" s="366">
        <v>0</v>
      </c>
      <c r="AO63" s="369">
        <f t="shared" si="3"/>
        <v>0</v>
      </c>
      <c r="AQ63" s="365">
        <f t="shared" si="14"/>
        <v>18</v>
      </c>
      <c r="AR63" s="366">
        <v>0</v>
      </c>
      <c r="AS63" s="367">
        <f t="shared" si="4"/>
        <v>0</v>
      </c>
      <c r="AU63" s="365">
        <f t="shared" si="15"/>
        <v>18</v>
      </c>
      <c r="AV63" s="364">
        <v>4</v>
      </c>
      <c r="AW63" s="369">
        <f t="shared" si="5"/>
        <v>4.2105263157894735</v>
      </c>
      <c r="AY63" s="365">
        <f t="shared" si="16"/>
        <v>18</v>
      </c>
      <c r="AZ63" s="364">
        <v>4</v>
      </c>
      <c r="BA63" s="369">
        <f t="shared" si="6"/>
        <v>4.5977011494252871</v>
      </c>
    </row>
    <row r="64" spans="3:53" x14ac:dyDescent="0.2">
      <c r="C64" s="745" t="s">
        <v>499</v>
      </c>
      <c r="H64">
        <v>12</v>
      </c>
      <c r="I64">
        <v>100</v>
      </c>
      <c r="O64" s="110"/>
      <c r="P64">
        <f>SUM(P45:P63)</f>
        <v>100</v>
      </c>
      <c r="V64">
        <f>SUM(V45:V63)</f>
        <v>69</v>
      </c>
      <c r="W64" s="332">
        <f>SUM(W45:W63)</f>
        <v>100.00000000000001</v>
      </c>
      <c r="Z64">
        <f>SUM(Z45:Z63)</f>
        <v>61</v>
      </c>
      <c r="AA64" s="333">
        <f>SUM(AA45:AA63)</f>
        <v>100.00000000000001</v>
      </c>
      <c r="AE64">
        <f>SUM(AE45:AE63)</f>
        <v>96</v>
      </c>
      <c r="AF64" s="332">
        <f>SUM(AF45:AF63)</f>
        <v>100</v>
      </c>
      <c r="AI64">
        <f>SUM(AI45:AI63)</f>
        <v>88</v>
      </c>
      <c r="AJ64" s="332">
        <f>SUM(AJ45:AJ63)</f>
        <v>99.999999999999986</v>
      </c>
      <c r="AN64">
        <f>SUM(AN45:AN63)</f>
        <v>78</v>
      </c>
      <c r="AO64" s="332">
        <f>SUM(AO45:AO63)</f>
        <v>100</v>
      </c>
      <c r="AR64">
        <f>SUM(AR45:AR63)</f>
        <v>70</v>
      </c>
      <c r="AS64" s="332">
        <f>SUM(AS45:AS63)</f>
        <v>99.999999999999972</v>
      </c>
      <c r="AV64">
        <f>SUM(AV45:AV63)</f>
        <v>95</v>
      </c>
      <c r="AW64" s="332">
        <f>SUM(AW45:AW63)</f>
        <v>99.999999999999986</v>
      </c>
      <c r="AZ64">
        <f>SUM(AZ45:AZ63)</f>
        <v>87</v>
      </c>
      <c r="BA64" s="332">
        <f>SUM(BA45:BA63)</f>
        <v>100.00000000000001</v>
      </c>
    </row>
    <row r="65" spans="2:5" x14ac:dyDescent="0.2">
      <c r="C65" t="s">
        <v>317</v>
      </c>
    </row>
    <row r="66" spans="2:5" x14ac:dyDescent="0.2">
      <c r="C66" t="s">
        <v>318</v>
      </c>
    </row>
    <row r="67" spans="2:5" x14ac:dyDescent="0.2">
      <c r="B67" s="374"/>
      <c r="C67" t="s">
        <v>319</v>
      </c>
    </row>
    <row r="68" spans="2:5" ht="45" customHeight="1" x14ac:dyDescent="0.2">
      <c r="B68" s="375"/>
      <c r="C68" s="376"/>
      <c r="D68" s="376"/>
      <c r="E68" s="376"/>
    </row>
    <row r="69" spans="2:5" ht="45" customHeight="1" x14ac:dyDescent="0.2"/>
  </sheetData>
  <mergeCells count="39">
    <mergeCell ref="AU44:AW44"/>
    <mergeCell ref="AY44:BA44"/>
    <mergeCell ref="B45:E45"/>
    <mergeCell ref="B46:E46"/>
    <mergeCell ref="U44:W44"/>
    <mergeCell ref="Y44:AA44"/>
    <mergeCell ref="AD44:AF44"/>
    <mergeCell ref="AH44:AJ44"/>
    <mergeCell ref="AM44:AO44"/>
    <mergeCell ref="AQ44:AS44"/>
    <mergeCell ref="AU43:BA43"/>
    <mergeCell ref="B29:B30"/>
    <mergeCell ref="C29:C30"/>
    <mergeCell ref="F29:F30"/>
    <mergeCell ref="B31:B33"/>
    <mergeCell ref="C31:C33"/>
    <mergeCell ref="D31:D33"/>
    <mergeCell ref="E31:E33"/>
    <mergeCell ref="F31:F33"/>
    <mergeCell ref="B39:E39"/>
    <mergeCell ref="B41:F41"/>
    <mergeCell ref="U43:AA43"/>
    <mergeCell ref="AD43:AJ43"/>
    <mergeCell ref="AM43:AS43"/>
    <mergeCell ref="B9:B10"/>
    <mergeCell ref="C9:C10"/>
    <mergeCell ref="B11:E11"/>
    <mergeCell ref="B13:F13"/>
    <mergeCell ref="B17:B21"/>
    <mergeCell ref="C17:C21"/>
    <mergeCell ref="D17:D21"/>
    <mergeCell ref="E17:E21"/>
    <mergeCell ref="F17:F21"/>
    <mergeCell ref="B2:F2"/>
    <mergeCell ref="B4:B8"/>
    <mergeCell ref="C4:C8"/>
    <mergeCell ref="D4:D8"/>
    <mergeCell ref="E4:E8"/>
    <mergeCell ref="F4:F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3A35-7F77-4EE7-B69D-E24A945541AE}">
  <sheetPr codeName="Hoja20">
    <tabColor rgb="FF00B050"/>
  </sheetPr>
  <dimension ref="A1:AA46"/>
  <sheetViews>
    <sheetView zoomScale="85" zoomScaleNormal="85" workbookViewId="0">
      <pane xSplit="7" ySplit="7" topLeftCell="I8" activePane="bottomRight" state="frozen"/>
      <selection activeCell="M17" sqref="M17"/>
      <selection pane="topRight" activeCell="M17" sqref="M17"/>
      <selection pane="bottomLeft" activeCell="M17" sqref="M17"/>
      <selection pane="bottomRight" activeCell="O21" sqref="O2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5" style="5" customWidth="1"/>
    <col min="8" max="10" width="25.42578125" style="5" customWidth="1"/>
    <col min="11" max="11" width="20.140625" style="5" customWidth="1"/>
    <col min="12" max="12" width="14.85546875" style="6" customWidth="1"/>
    <col min="13" max="13" width="12.5703125" style="5" customWidth="1"/>
    <col min="14" max="14" width="14.140625" style="5" customWidth="1"/>
    <col min="15" max="15" width="16.42578125" style="5" customWidth="1"/>
    <col min="16" max="16" width="15" style="57" customWidth="1"/>
    <col min="17" max="17" width="8" style="57" customWidth="1"/>
    <col min="18" max="18" width="8" style="5" customWidth="1"/>
    <col min="19" max="21" width="11.42578125" style="5"/>
    <col min="22" max="24" width="11.42578125" style="15"/>
    <col min="25" max="16384" width="11.42578125" style="5"/>
  </cols>
  <sheetData>
    <row r="1" spans="1:27" s="2" customFormat="1" ht="28.5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215"/>
      <c r="V1" s="216"/>
      <c r="W1" s="216"/>
      <c r="X1" s="216"/>
    </row>
    <row r="2" spans="1:27" s="2" customFormat="1" ht="23.25" customHeight="1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5" t="str">
        <f>+NOMBRE!B7</f>
        <v>ENERO - OCTUBRE 2024</v>
      </c>
      <c r="N2" s="905"/>
      <c r="O2" s="905"/>
      <c r="P2" s="905"/>
      <c r="Q2" s="215"/>
      <c r="V2" s="216"/>
      <c r="W2" s="216"/>
      <c r="X2" s="216"/>
    </row>
    <row r="3" spans="1:27" ht="40.5" customHeight="1" thickBot="1" x14ac:dyDescent="0.3">
      <c r="Q3" s="5"/>
      <c r="T3" s="6"/>
      <c r="V3" s="5"/>
      <c r="W3" s="87" t="s">
        <v>45</v>
      </c>
      <c r="X3" s="88">
        <v>12</v>
      </c>
      <c r="Y3" s="6"/>
      <c r="Z3" s="6"/>
    </row>
    <row r="4" spans="1:27" ht="15" customHeight="1" x14ac:dyDescent="0.25">
      <c r="G4" s="58"/>
      <c r="H4" s="906" t="s">
        <v>508</v>
      </c>
      <c r="I4" s="924"/>
      <c r="J4" s="924"/>
      <c r="K4" s="907"/>
      <c r="L4" s="907"/>
      <c r="M4" s="907"/>
      <c r="N4" s="907"/>
      <c r="O4" s="907"/>
      <c r="P4" s="908"/>
      <c r="Q4" s="5"/>
      <c r="T4" s="6"/>
      <c r="V4" s="5"/>
      <c r="W4" s="87" t="s">
        <v>46</v>
      </c>
      <c r="X4" s="88">
        <f>meta3!AB2</f>
        <v>10</v>
      </c>
      <c r="Y4" s="6"/>
    </row>
    <row r="5" spans="1:27" ht="38.25" customHeight="1" thickBot="1" x14ac:dyDescent="0.3">
      <c r="G5" s="58"/>
      <c r="H5" s="1000"/>
      <c r="I5" s="1002"/>
      <c r="J5" s="1002"/>
      <c r="K5" s="925"/>
      <c r="L5" s="925"/>
      <c r="M5" s="925"/>
      <c r="N5" s="925"/>
      <c r="O5" s="925"/>
      <c r="P5" s="926"/>
      <c r="Q5" s="89" t="s">
        <v>47</v>
      </c>
      <c r="R5" s="89" t="s">
        <v>48</v>
      </c>
      <c r="S5" s="89" t="s">
        <v>49</v>
      </c>
      <c r="T5" s="89" t="s">
        <v>50</v>
      </c>
      <c r="U5" s="89" t="s">
        <v>51</v>
      </c>
      <c r="V5" s="89" t="s">
        <v>52</v>
      </c>
      <c r="W5" s="89" t="s">
        <v>45</v>
      </c>
      <c r="X5" s="89" t="s">
        <v>53</v>
      </c>
      <c r="Y5" s="89" t="s">
        <v>54</v>
      </c>
      <c r="Z5" s="89" t="s">
        <v>55</v>
      </c>
      <c r="AA5" s="89" t="s">
        <v>56</v>
      </c>
    </row>
    <row r="6" spans="1:27" ht="73.5" customHeight="1" thickBot="1" x14ac:dyDescent="0.3">
      <c r="G6" s="59"/>
      <c r="H6" s="7" t="s">
        <v>4</v>
      </c>
      <c r="I6" s="776" t="s">
        <v>4</v>
      </c>
      <c r="J6" s="807" t="s">
        <v>4</v>
      </c>
      <c r="K6" s="8" t="s">
        <v>5</v>
      </c>
      <c r="L6" s="912" t="s">
        <v>6</v>
      </c>
      <c r="M6" s="914">
        <f>+NOMBRE!$B$9</f>
        <v>2024</v>
      </c>
      <c r="N6" s="915"/>
      <c r="O6" s="916" t="s">
        <v>7</v>
      </c>
      <c r="P6" s="917"/>
      <c r="Q6" s="90" t="s">
        <v>57</v>
      </c>
      <c r="R6" s="90" t="s">
        <v>58</v>
      </c>
      <c r="S6" s="90" t="s">
        <v>59</v>
      </c>
      <c r="T6" s="91" t="s">
        <v>60</v>
      </c>
      <c r="U6" s="91" t="s">
        <v>61</v>
      </c>
      <c r="V6" s="91" t="s">
        <v>62</v>
      </c>
      <c r="W6" s="91" t="s">
        <v>63</v>
      </c>
      <c r="X6" s="91" t="s">
        <v>64</v>
      </c>
      <c r="Y6" s="91" t="s">
        <v>65</v>
      </c>
      <c r="Z6" s="92" t="s">
        <v>66</v>
      </c>
      <c r="AA6" s="92" t="s">
        <v>67</v>
      </c>
    </row>
    <row r="7" spans="1:27" ht="79.5" thickBot="1" x14ac:dyDescent="0.3">
      <c r="G7" s="603" t="s">
        <v>431</v>
      </c>
      <c r="H7" s="217" t="s">
        <v>429</v>
      </c>
      <c r="I7" s="217" t="s">
        <v>429</v>
      </c>
      <c r="J7" s="217" t="s">
        <v>538</v>
      </c>
      <c r="K7" s="11" t="s">
        <v>130</v>
      </c>
      <c r="L7" s="913"/>
      <c r="M7" s="12" t="s">
        <v>11</v>
      </c>
      <c r="N7" s="490" t="s">
        <v>81</v>
      </c>
      <c r="O7" s="14" t="s">
        <v>13</v>
      </c>
      <c r="P7" s="14" t="s">
        <v>506</v>
      </c>
      <c r="Q7" s="93" t="s">
        <v>68</v>
      </c>
      <c r="R7" s="93" t="s">
        <v>69</v>
      </c>
      <c r="S7" s="93" t="s">
        <v>70</v>
      </c>
      <c r="T7" s="93" t="s">
        <v>71</v>
      </c>
      <c r="U7" s="93" t="s">
        <v>72</v>
      </c>
      <c r="V7" s="93" t="s">
        <v>73</v>
      </c>
      <c r="W7" s="93" t="s">
        <v>74</v>
      </c>
      <c r="X7" s="93" t="s">
        <v>75</v>
      </c>
      <c r="Y7" s="93" t="s">
        <v>76</v>
      </c>
      <c r="Z7" s="93" t="s">
        <v>77</v>
      </c>
      <c r="AA7" s="93" t="s">
        <v>78</v>
      </c>
    </row>
    <row r="8" spans="1:27" ht="16.5" thickBot="1" x14ac:dyDescent="0.3">
      <c r="G8" s="664"/>
      <c r="H8" s="778" t="s">
        <v>519</v>
      </c>
      <c r="I8" s="778" t="s">
        <v>520</v>
      </c>
      <c r="J8" s="778" t="s">
        <v>537</v>
      </c>
      <c r="K8" s="437"/>
      <c r="L8" s="665"/>
      <c r="M8" s="650">
        <f>indicadores!E37</f>
        <v>0.55289999999999995</v>
      </c>
      <c r="N8" s="490">
        <v>1</v>
      </c>
      <c r="O8" s="439"/>
      <c r="P8" s="439">
        <v>6.59</v>
      </c>
      <c r="Q8" s="668"/>
      <c r="R8" s="668"/>
      <c r="S8" s="668"/>
      <c r="T8" s="668"/>
      <c r="U8" s="668"/>
      <c r="V8" s="668"/>
      <c r="W8" s="668"/>
      <c r="X8" s="668"/>
      <c r="Y8" s="668"/>
      <c r="Z8" s="668"/>
      <c r="AA8" s="668"/>
    </row>
    <row r="9" spans="1:27" ht="16.5" customHeight="1" thickBot="1" x14ac:dyDescent="0.35">
      <c r="A9" s="212"/>
      <c r="B9" s="212"/>
      <c r="C9" s="64"/>
      <c r="D9" s="65"/>
      <c r="E9" s="66"/>
      <c r="F9" s="105"/>
      <c r="G9" s="19" t="s">
        <v>432</v>
      </c>
      <c r="H9" s="34">
        <f>REMP!F6</f>
        <v>2707</v>
      </c>
      <c r="I9" s="34">
        <f>REMP!P6</f>
        <v>2726</v>
      </c>
      <c r="J9" s="34">
        <f>REMP!Y6</f>
        <v>2774</v>
      </c>
      <c r="K9" s="34">
        <f>Poblacion2024!AH6</f>
        <v>5497.8633989999998</v>
      </c>
      <c r="L9" s="35">
        <f>IF(K9=0,0,+J9/K9)</f>
        <v>0.5045596441163962</v>
      </c>
      <c r="M9" s="46">
        <f>$M$8</f>
        <v>0.55289999999999995</v>
      </c>
      <c r="N9" s="46">
        <f>+M9*$N$8</f>
        <v>0.55289999999999995</v>
      </c>
      <c r="O9" s="109">
        <f t="shared" ref="O9:O16" si="0">IF(+L9/N9&gt;1,1,+L9/N9)</f>
        <v>0.91256944133911422</v>
      </c>
      <c r="P9" s="71">
        <f>+O9*$P$8/100</f>
        <v>6.013832618424763E-2</v>
      </c>
      <c r="Q9" s="144">
        <f>M9</f>
        <v>0.55289999999999995</v>
      </c>
      <c r="R9" s="144">
        <f>(V9/T9)</f>
        <v>0.5045596441163962</v>
      </c>
      <c r="S9" s="145">
        <f>R9/Q9</f>
        <v>0.91256944133911422</v>
      </c>
      <c r="T9" s="96">
        <f>K9</f>
        <v>5497.8633989999998</v>
      </c>
      <c r="U9" s="97">
        <f>T9*Q9</f>
        <v>3039.7686733070996</v>
      </c>
      <c r="V9" s="96">
        <f>J9</f>
        <v>2774</v>
      </c>
      <c r="W9" s="97">
        <f>U9/$X$3</f>
        <v>253.31405610892497</v>
      </c>
      <c r="X9" s="97">
        <f>W9*$X$4</f>
        <v>2533.1405610892498</v>
      </c>
      <c r="Y9" s="97">
        <f>H9</f>
        <v>2707</v>
      </c>
      <c r="Z9" s="98">
        <f>Y9/X9</f>
        <v>1.0686339485385645</v>
      </c>
      <c r="AA9" s="427">
        <f>(X9-Y9)*-1</f>
        <v>173.85943891075021</v>
      </c>
    </row>
    <row r="10" spans="1:27" ht="16.5" customHeight="1" thickBot="1" x14ac:dyDescent="0.35">
      <c r="A10" s="212"/>
      <c r="B10" s="212"/>
      <c r="C10" s="64"/>
      <c r="D10" s="65"/>
      <c r="E10" s="66"/>
      <c r="F10" s="105"/>
      <c r="G10" s="19" t="s">
        <v>433</v>
      </c>
      <c r="H10" s="39">
        <f>REMP!F7</f>
        <v>1664</v>
      </c>
      <c r="I10" s="39">
        <f>REMP!P7</f>
        <v>1710</v>
      </c>
      <c r="J10" s="39">
        <f>REMP!Y7</f>
        <v>1726</v>
      </c>
      <c r="K10" s="39">
        <f>Poblacion2024!AH7</f>
        <v>2923.9560000000001</v>
      </c>
      <c r="L10" s="35">
        <f t="shared" ref="L10:L15" si="1">IF(K10=0,0,+J10/K10)</f>
        <v>0.59029616040733857</v>
      </c>
      <c r="M10" s="42">
        <f t="shared" ref="M10:M16" si="2">$M$8</f>
        <v>0.55289999999999995</v>
      </c>
      <c r="N10" s="42">
        <f t="shared" ref="N10:N16" si="3">+M10*$N$8</f>
        <v>0.55289999999999995</v>
      </c>
      <c r="O10" s="112">
        <f t="shared" si="0"/>
        <v>1</v>
      </c>
      <c r="P10" s="71">
        <f t="shared" ref="P10:P16" si="4">+O10*$P$8/100</f>
        <v>6.59E-2</v>
      </c>
      <c r="Q10" s="144">
        <f t="shared" ref="Q10:Q16" si="5">M10</f>
        <v>0.55289999999999995</v>
      </c>
      <c r="R10" s="144">
        <f t="shared" ref="R10:R16" si="6">(V10/T10)</f>
        <v>0.59029616040733857</v>
      </c>
      <c r="S10" s="145">
        <f t="shared" ref="S10:S16" si="7">R10/Q10</f>
        <v>1.0676363906806632</v>
      </c>
      <c r="T10" s="96">
        <f t="shared" ref="T10:T16" si="8">K10</f>
        <v>2923.9560000000001</v>
      </c>
      <c r="U10" s="97">
        <f t="shared" ref="U10:U16" si="9">T10*Q10</f>
        <v>1616.6552723999998</v>
      </c>
      <c r="V10" s="96">
        <f t="shared" ref="V10:V15" si="10">J10</f>
        <v>1726</v>
      </c>
      <c r="W10" s="97">
        <f t="shared" ref="W10:W16" si="11">U10/$X$3</f>
        <v>134.72127269999999</v>
      </c>
      <c r="X10" s="97">
        <f t="shared" ref="X10:X16" si="12">W10*$X$4</f>
        <v>1347.2127269999999</v>
      </c>
      <c r="Y10" s="97">
        <f t="shared" ref="Y10:Y16" si="13">H10</f>
        <v>1664</v>
      </c>
      <c r="Z10" s="98">
        <f t="shared" ref="Z10:Z16" si="14">Y10/X10</f>
        <v>1.2351427259044889</v>
      </c>
      <c r="AA10" s="427">
        <f t="shared" ref="AA10:AA16" si="15">(X10-Y10)*-1</f>
        <v>316.78727300000014</v>
      </c>
    </row>
    <row r="11" spans="1:27" ht="16.5" customHeight="1" thickBot="1" x14ac:dyDescent="0.35">
      <c r="A11" s="212"/>
      <c r="B11" s="212"/>
      <c r="C11" s="64"/>
      <c r="D11" s="65"/>
      <c r="E11" s="66"/>
      <c r="F11" s="105"/>
      <c r="G11" s="19" t="s">
        <v>434</v>
      </c>
      <c r="H11" s="39">
        <f>REMP!F8</f>
        <v>772</v>
      </c>
      <c r="I11" s="39">
        <f>REMP!P8</f>
        <v>861</v>
      </c>
      <c r="J11" s="39">
        <f>REMP!Y8</f>
        <v>916</v>
      </c>
      <c r="K11" s="39">
        <f>Poblacion2024!AH8</f>
        <v>2011.9470000000001</v>
      </c>
      <c r="L11" s="35">
        <f t="shared" si="1"/>
        <v>0.45528038263433379</v>
      </c>
      <c r="M11" s="42">
        <f t="shared" si="2"/>
        <v>0.55289999999999995</v>
      </c>
      <c r="N11" s="42">
        <f t="shared" si="3"/>
        <v>0.55289999999999995</v>
      </c>
      <c r="O11" s="112">
        <f t="shared" si="0"/>
        <v>0.82344073545728669</v>
      </c>
      <c r="P11" s="71">
        <f t="shared" si="4"/>
        <v>5.4264744466635192E-2</v>
      </c>
      <c r="Q11" s="144">
        <f t="shared" si="5"/>
        <v>0.55289999999999995</v>
      </c>
      <c r="R11" s="144">
        <f t="shared" si="6"/>
        <v>0.45528038263433379</v>
      </c>
      <c r="S11" s="145">
        <f t="shared" si="7"/>
        <v>0.82344073545728669</v>
      </c>
      <c r="T11" s="96">
        <f t="shared" si="8"/>
        <v>2011.9470000000001</v>
      </c>
      <c r="U11" s="97">
        <f t="shared" si="9"/>
        <v>1112.4054962999999</v>
      </c>
      <c r="V11" s="96">
        <f t="shared" si="10"/>
        <v>916</v>
      </c>
      <c r="W11" s="97">
        <f t="shared" si="11"/>
        <v>92.700458024999989</v>
      </c>
      <c r="X11" s="97">
        <f t="shared" si="12"/>
        <v>927.00458024999989</v>
      </c>
      <c r="Y11" s="97">
        <f t="shared" si="13"/>
        <v>772</v>
      </c>
      <c r="Z11" s="98">
        <f t="shared" si="14"/>
        <v>0.83278984424413804</v>
      </c>
      <c r="AA11" s="427">
        <f t="shared" si="15"/>
        <v>-155.00458024999989</v>
      </c>
    </row>
    <row r="12" spans="1:27" ht="16.5" customHeight="1" thickBot="1" x14ac:dyDescent="0.35">
      <c r="A12" s="212"/>
      <c r="B12" s="212"/>
      <c r="C12" s="64"/>
      <c r="D12" s="65"/>
      <c r="E12" s="66"/>
      <c r="F12" s="105"/>
      <c r="G12" s="19" t="s">
        <v>435</v>
      </c>
      <c r="H12" s="39">
        <f>REMP!F9</f>
        <v>1351</v>
      </c>
      <c r="I12" s="39">
        <f>REMP!P9</f>
        <v>1337</v>
      </c>
      <c r="J12" s="39">
        <f>REMP!Y9</f>
        <v>1360</v>
      </c>
      <c r="K12" s="39">
        <f>Poblacion2024!AH9</f>
        <v>2085.7440336</v>
      </c>
      <c r="L12" s="35">
        <f t="shared" si="1"/>
        <v>0.6520454946010974</v>
      </c>
      <c r="M12" s="42">
        <f t="shared" si="2"/>
        <v>0.55289999999999995</v>
      </c>
      <c r="N12" s="42">
        <f t="shared" si="3"/>
        <v>0.55289999999999995</v>
      </c>
      <c r="O12" s="112">
        <f t="shared" si="0"/>
        <v>1</v>
      </c>
      <c r="P12" s="71">
        <f t="shared" si="4"/>
        <v>6.59E-2</v>
      </c>
      <c r="Q12" s="144">
        <f t="shared" si="5"/>
        <v>0.55289999999999995</v>
      </c>
      <c r="R12" s="144">
        <f t="shared" si="6"/>
        <v>0.6520454946010974</v>
      </c>
      <c r="S12" s="145">
        <f t="shared" si="7"/>
        <v>1.1793190352705687</v>
      </c>
      <c r="T12" s="96">
        <f t="shared" si="8"/>
        <v>2085.7440336</v>
      </c>
      <c r="U12" s="97">
        <f t="shared" si="9"/>
        <v>1153.2078761774399</v>
      </c>
      <c r="V12" s="96">
        <f t="shared" si="10"/>
        <v>1360</v>
      </c>
      <c r="W12" s="97">
        <f t="shared" si="11"/>
        <v>96.100656348119983</v>
      </c>
      <c r="X12" s="97">
        <f t="shared" si="12"/>
        <v>961.00656348119981</v>
      </c>
      <c r="Y12" s="97">
        <f t="shared" si="13"/>
        <v>1351</v>
      </c>
      <c r="Z12" s="98">
        <f t="shared" si="14"/>
        <v>1.4058176617504752</v>
      </c>
      <c r="AA12" s="427">
        <f t="shared" si="15"/>
        <v>389.99343651880019</v>
      </c>
    </row>
    <row r="13" spans="1:27" ht="16.5" customHeight="1" thickBot="1" x14ac:dyDescent="0.35">
      <c r="A13" s="212"/>
      <c r="B13" s="212"/>
      <c r="C13" s="64"/>
      <c r="D13" s="65"/>
      <c r="E13" s="66"/>
      <c r="F13" s="105"/>
      <c r="G13" s="19" t="s">
        <v>436</v>
      </c>
      <c r="H13" s="39">
        <f>REMP!F10</f>
        <v>1182</v>
      </c>
      <c r="I13" s="39">
        <f>REMP!P10</f>
        <v>1211</v>
      </c>
      <c r="J13" s="39">
        <f>REMP!Y10</f>
        <v>1271</v>
      </c>
      <c r="K13" s="39">
        <f>Poblacion2024!AH10</f>
        <v>2040.6179999999999</v>
      </c>
      <c r="L13" s="35">
        <f t="shared" si="1"/>
        <v>0.62285052861437074</v>
      </c>
      <c r="M13" s="42">
        <f t="shared" si="2"/>
        <v>0.55289999999999995</v>
      </c>
      <c r="N13" s="42">
        <f t="shared" si="3"/>
        <v>0.55289999999999995</v>
      </c>
      <c r="O13" s="112">
        <f t="shared" si="0"/>
        <v>1</v>
      </c>
      <c r="P13" s="71">
        <f t="shared" si="4"/>
        <v>6.59E-2</v>
      </c>
      <c r="Q13" s="144">
        <f t="shared" si="5"/>
        <v>0.55289999999999995</v>
      </c>
      <c r="R13" s="144">
        <f t="shared" si="6"/>
        <v>0.62285052861437074</v>
      </c>
      <c r="S13" s="145">
        <f t="shared" si="7"/>
        <v>1.1265156965353063</v>
      </c>
      <c r="T13" s="96">
        <f t="shared" si="8"/>
        <v>2040.6179999999999</v>
      </c>
      <c r="U13" s="97">
        <f t="shared" si="9"/>
        <v>1128.2576921999998</v>
      </c>
      <c r="V13" s="96">
        <f t="shared" si="10"/>
        <v>1271</v>
      </c>
      <c r="W13" s="97">
        <f t="shared" si="11"/>
        <v>94.021474349999991</v>
      </c>
      <c r="X13" s="97">
        <f t="shared" si="12"/>
        <v>940.21474349999994</v>
      </c>
      <c r="Y13" s="97">
        <f t="shared" si="13"/>
        <v>1182</v>
      </c>
      <c r="Z13" s="98">
        <f t="shared" si="14"/>
        <v>1.2571596097290938</v>
      </c>
      <c r="AA13" s="427">
        <f t="shared" si="15"/>
        <v>241.78525650000006</v>
      </c>
    </row>
    <row r="14" spans="1:27" ht="16.5" customHeight="1" thickBot="1" x14ac:dyDescent="0.35">
      <c r="A14" s="212"/>
      <c r="B14" s="212"/>
      <c r="C14" s="64"/>
      <c r="D14" s="65"/>
      <c r="E14" s="66"/>
      <c r="F14" s="105"/>
      <c r="G14" s="19" t="s">
        <v>437</v>
      </c>
      <c r="H14" s="39">
        <f>REMP!F11</f>
        <v>47</v>
      </c>
      <c r="I14" s="39">
        <f>REMP!P11</f>
        <v>47</v>
      </c>
      <c r="J14" s="39">
        <f>REMP!Y11</f>
        <v>46</v>
      </c>
      <c r="K14" s="39">
        <f>Poblacion2024!AH11</f>
        <v>72.413601</v>
      </c>
      <c r="L14" s="35">
        <f t="shared" si="1"/>
        <v>0.63523978043848417</v>
      </c>
      <c r="M14" s="42">
        <f t="shared" si="2"/>
        <v>0.55289999999999995</v>
      </c>
      <c r="N14" s="42">
        <f t="shared" si="3"/>
        <v>0.55289999999999995</v>
      </c>
      <c r="O14" s="112">
        <f t="shared" si="0"/>
        <v>1</v>
      </c>
      <c r="P14" s="71">
        <f t="shared" si="4"/>
        <v>6.59E-2</v>
      </c>
      <c r="Q14" s="144">
        <f t="shared" si="5"/>
        <v>0.55289999999999995</v>
      </c>
      <c r="R14" s="144">
        <f t="shared" si="6"/>
        <v>0.63523978043848417</v>
      </c>
      <c r="S14" s="145">
        <f t="shared" si="7"/>
        <v>1.1489234589229231</v>
      </c>
      <c r="T14" s="96">
        <f t="shared" si="8"/>
        <v>72.413601</v>
      </c>
      <c r="U14" s="97">
        <f t="shared" si="9"/>
        <v>40.037479992899996</v>
      </c>
      <c r="V14" s="96">
        <f t="shared" si="10"/>
        <v>46</v>
      </c>
      <c r="W14" s="97">
        <f t="shared" si="11"/>
        <v>3.3364566660749997</v>
      </c>
      <c r="X14" s="97">
        <f t="shared" si="12"/>
        <v>33.36456666075</v>
      </c>
      <c r="Y14" s="97">
        <f t="shared" si="13"/>
        <v>47</v>
      </c>
      <c r="Z14" s="98">
        <f t="shared" si="14"/>
        <v>1.4086800670272361</v>
      </c>
      <c r="AA14" s="427">
        <f t="shared" si="15"/>
        <v>13.63543333925</v>
      </c>
    </row>
    <row r="15" spans="1:27" ht="16.5" customHeight="1" thickBot="1" x14ac:dyDescent="0.35">
      <c r="A15" s="212"/>
      <c r="B15" s="212"/>
      <c r="C15" s="64"/>
      <c r="D15" s="65"/>
      <c r="E15" s="66"/>
      <c r="F15" s="105"/>
      <c r="G15" s="28" t="s">
        <v>438</v>
      </c>
      <c r="H15" s="53">
        <f>REMP!F12</f>
        <v>414</v>
      </c>
      <c r="I15" s="53">
        <f>REMP!P12</f>
        <v>419</v>
      </c>
      <c r="J15" s="53">
        <f>REMP!Y12</f>
        <v>421</v>
      </c>
      <c r="K15" s="53">
        <f>Poblacion2024!AH12</f>
        <v>550.43396640000003</v>
      </c>
      <c r="L15" s="35">
        <f t="shared" si="1"/>
        <v>0.76485105516555196</v>
      </c>
      <c r="M15" s="55">
        <f t="shared" si="2"/>
        <v>0.55289999999999995</v>
      </c>
      <c r="N15" s="55">
        <f t="shared" si="3"/>
        <v>0.55289999999999995</v>
      </c>
      <c r="O15" s="115">
        <f t="shared" si="0"/>
        <v>1</v>
      </c>
      <c r="P15" s="71">
        <f t="shared" si="4"/>
        <v>6.59E-2</v>
      </c>
      <c r="Q15" s="144">
        <f t="shared" si="5"/>
        <v>0.55289999999999995</v>
      </c>
      <c r="R15" s="144">
        <f t="shared" si="6"/>
        <v>0.76485105516555196</v>
      </c>
      <c r="S15" s="145">
        <f t="shared" si="7"/>
        <v>1.3833442849801991</v>
      </c>
      <c r="T15" s="96">
        <f t="shared" si="8"/>
        <v>550.43396640000003</v>
      </c>
      <c r="U15" s="97">
        <f t="shared" si="9"/>
        <v>304.33494002255998</v>
      </c>
      <c r="V15" s="96">
        <f t="shared" si="10"/>
        <v>421</v>
      </c>
      <c r="W15" s="97">
        <f t="shared" si="11"/>
        <v>25.361245001879997</v>
      </c>
      <c r="X15" s="97">
        <f t="shared" si="12"/>
        <v>253.61245001879996</v>
      </c>
      <c r="Y15" s="97">
        <f t="shared" si="13"/>
        <v>414</v>
      </c>
      <c r="Z15" s="98">
        <f t="shared" si="14"/>
        <v>1.632411973344805</v>
      </c>
      <c r="AA15" s="427">
        <f t="shared" si="15"/>
        <v>160.38754998120004</v>
      </c>
    </row>
    <row r="16" spans="1:27" ht="16.5" customHeight="1" thickBot="1" x14ac:dyDescent="0.35">
      <c r="A16" s="212"/>
      <c r="B16" s="212"/>
      <c r="C16" s="64"/>
      <c r="D16" s="65"/>
      <c r="E16" s="66"/>
      <c r="F16" s="105"/>
      <c r="G16" s="538" t="s">
        <v>15</v>
      </c>
      <c r="H16" s="609">
        <f>SUM(H9:H15)</f>
        <v>8137</v>
      </c>
      <c r="I16" s="609">
        <f>SUM(I9:I15)</f>
        <v>8311</v>
      </c>
      <c r="J16" s="609">
        <f>SUM(J9:J15)</f>
        <v>8514</v>
      </c>
      <c r="K16" s="610">
        <f>SUM(K9:K15)</f>
        <v>15182.976000000001</v>
      </c>
      <c r="L16" s="475">
        <f>IF(K16=0,0,+J16/K16)</f>
        <v>0.56075962973266902</v>
      </c>
      <c r="M16" s="506">
        <f t="shared" si="2"/>
        <v>0.55289999999999995</v>
      </c>
      <c r="N16" s="506">
        <f t="shared" si="3"/>
        <v>0.55289999999999995</v>
      </c>
      <c r="O16" s="507">
        <f t="shared" si="0"/>
        <v>1</v>
      </c>
      <c r="P16" s="508">
        <f t="shared" si="4"/>
        <v>6.59E-2</v>
      </c>
      <c r="Q16" s="144">
        <f t="shared" si="5"/>
        <v>0.55289999999999995</v>
      </c>
      <c r="R16" s="144">
        <f t="shared" si="6"/>
        <v>0.56075962973266902</v>
      </c>
      <c r="S16" s="145">
        <f t="shared" si="7"/>
        <v>1.0142152825694866</v>
      </c>
      <c r="T16" s="96">
        <f t="shared" si="8"/>
        <v>15182.976000000001</v>
      </c>
      <c r="U16" s="97">
        <f t="shared" si="9"/>
        <v>8394.6674303999989</v>
      </c>
      <c r="V16" s="96">
        <f>J16</f>
        <v>8514</v>
      </c>
      <c r="W16" s="97">
        <f t="shared" si="11"/>
        <v>699.55561919999991</v>
      </c>
      <c r="X16" s="97">
        <f t="shared" si="12"/>
        <v>6995.5561919999991</v>
      </c>
      <c r="Y16" s="97">
        <f t="shared" si="13"/>
        <v>8137</v>
      </c>
      <c r="Z16" s="98">
        <f t="shared" si="14"/>
        <v>1.1631669843929404</v>
      </c>
      <c r="AA16" s="427">
        <f t="shared" si="15"/>
        <v>1141.4438080000009</v>
      </c>
    </row>
    <row r="17" spans="13:24" x14ac:dyDescent="0.25">
      <c r="M17" s="57"/>
      <c r="Q17" s="121"/>
      <c r="R17" s="121"/>
    </row>
    <row r="18" spans="13:24" x14ac:dyDescent="0.25">
      <c r="V18" s="5"/>
      <c r="W18" s="5"/>
      <c r="X18" s="5"/>
    </row>
    <row r="19" spans="13:24" x14ac:dyDescent="0.25">
      <c r="V19" s="5"/>
      <c r="W19" s="5"/>
      <c r="X19" s="5"/>
    </row>
    <row r="20" spans="13:24" x14ac:dyDescent="0.25">
      <c r="V20" s="5"/>
      <c r="W20" s="5"/>
      <c r="X20" s="5"/>
    </row>
    <row r="21" spans="13:24" x14ac:dyDescent="0.25">
      <c r="V21" s="5"/>
      <c r="W21" s="5"/>
      <c r="X21" s="5"/>
    </row>
    <row r="22" spans="13:24" x14ac:dyDescent="0.25">
      <c r="V22" s="5"/>
      <c r="W22" s="5"/>
      <c r="X22" s="5"/>
    </row>
    <row r="23" spans="13:24" x14ac:dyDescent="0.25">
      <c r="V23" s="5"/>
      <c r="W23" s="5"/>
      <c r="X23" s="5"/>
    </row>
    <row r="24" spans="13:24" x14ac:dyDescent="0.25">
      <c r="V24" s="5"/>
      <c r="W24" s="5"/>
      <c r="X24" s="5"/>
    </row>
    <row r="25" spans="13:24" x14ac:dyDescent="0.25">
      <c r="V25" s="5"/>
      <c r="W25" s="5"/>
      <c r="X25" s="5"/>
    </row>
    <row r="26" spans="13:24" x14ac:dyDescent="0.25">
      <c r="V26" s="5"/>
      <c r="W26" s="5"/>
      <c r="X26" s="5"/>
    </row>
    <row r="27" spans="13:24" x14ac:dyDescent="0.25">
      <c r="V27" s="5"/>
      <c r="W27" s="5"/>
      <c r="X27" s="5"/>
    </row>
    <row r="28" spans="13:24" x14ac:dyDescent="0.25">
      <c r="V28" s="5"/>
      <c r="W28" s="5"/>
      <c r="X28" s="5"/>
    </row>
    <row r="29" spans="13:24" x14ac:dyDescent="0.25">
      <c r="V29" s="5"/>
      <c r="W29" s="5"/>
      <c r="X29" s="5"/>
    </row>
    <row r="30" spans="13:24" x14ac:dyDescent="0.25">
      <c r="V30" s="5"/>
      <c r="W30" s="5"/>
      <c r="X30" s="5"/>
    </row>
    <row r="31" spans="13:24" x14ac:dyDescent="0.25">
      <c r="V31" s="5"/>
      <c r="W31" s="5"/>
      <c r="X31" s="5"/>
    </row>
    <row r="32" spans="13:24" x14ac:dyDescent="0.25">
      <c r="V32" s="5"/>
      <c r="W32" s="5"/>
      <c r="X32" s="5"/>
    </row>
    <row r="33" spans="22:24" x14ac:dyDescent="0.25">
      <c r="V33" s="5"/>
      <c r="W33" s="5"/>
      <c r="X33" s="5"/>
    </row>
    <row r="34" spans="22:24" x14ac:dyDescent="0.25">
      <c r="V34" s="5"/>
      <c r="W34" s="5"/>
      <c r="X34" s="5"/>
    </row>
    <row r="35" spans="22:24" x14ac:dyDescent="0.25">
      <c r="V35" s="5"/>
      <c r="W35" s="5"/>
      <c r="X35" s="5"/>
    </row>
    <row r="36" spans="22:24" x14ac:dyDescent="0.25">
      <c r="V36" s="5"/>
      <c r="W36" s="5"/>
      <c r="X36" s="5"/>
    </row>
    <row r="37" spans="22:24" x14ac:dyDescent="0.25">
      <c r="V37" s="5"/>
      <c r="W37" s="5"/>
      <c r="X37" s="5"/>
    </row>
    <row r="38" spans="22:24" x14ac:dyDescent="0.25">
      <c r="V38" s="5"/>
      <c r="W38" s="5"/>
      <c r="X38" s="5"/>
    </row>
    <row r="39" spans="22:24" x14ac:dyDescent="0.25">
      <c r="V39" s="5"/>
      <c r="W39" s="5"/>
      <c r="X39" s="5"/>
    </row>
    <row r="40" spans="22:24" x14ac:dyDescent="0.25">
      <c r="V40" s="5"/>
      <c r="W40" s="5"/>
      <c r="X40" s="5"/>
    </row>
    <row r="41" spans="22:24" x14ac:dyDescent="0.25">
      <c r="V41" s="5"/>
      <c r="W41" s="5"/>
      <c r="X41" s="5"/>
    </row>
    <row r="42" spans="22:24" x14ac:dyDescent="0.25">
      <c r="V42" s="5"/>
      <c r="W42" s="5"/>
      <c r="X42" s="5"/>
    </row>
    <row r="43" spans="22:24" x14ac:dyDescent="0.25">
      <c r="V43" s="5"/>
      <c r="W43" s="5"/>
      <c r="X43" s="5"/>
    </row>
    <row r="44" spans="22:24" x14ac:dyDescent="0.25">
      <c r="V44" s="5"/>
      <c r="W44" s="5"/>
      <c r="X44" s="5"/>
    </row>
    <row r="45" spans="22:24" x14ac:dyDescent="0.25">
      <c r="V45" s="5"/>
      <c r="W45" s="5"/>
      <c r="X45" s="5"/>
    </row>
    <row r="46" spans="22:24" x14ac:dyDescent="0.25">
      <c r="V46" s="5"/>
      <c r="W46" s="5"/>
      <c r="X46" s="5"/>
    </row>
  </sheetData>
  <autoFilter ref="G4:G16" xr:uid="{00000000-0001-0000-1100-000000000000}"/>
  <mergeCells count="7">
    <mergeCell ref="G1:P1"/>
    <mergeCell ref="G2:L2"/>
    <mergeCell ref="M2:P2"/>
    <mergeCell ref="H4:P5"/>
    <mergeCell ref="L6:L7"/>
    <mergeCell ref="M6:N6"/>
    <mergeCell ref="O6:P6"/>
  </mergeCells>
  <phoneticPr fontId="65" type="noConversion"/>
  <conditionalFormatting sqref="AA9:AA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B7A4-2C8B-4A3B-A857-E4C10752946F}">
  <sheetPr codeName="Hoja21">
    <tabColor rgb="FF00B050"/>
  </sheetPr>
  <dimension ref="A1:AA52"/>
  <sheetViews>
    <sheetView zoomScale="85" zoomScaleNormal="85" workbookViewId="0">
      <selection activeCell="L21" sqref="L2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4.28515625" style="5" customWidth="1"/>
    <col min="8" max="10" width="26.42578125" style="5" customWidth="1"/>
    <col min="11" max="11" width="18.5703125" style="5" customWidth="1"/>
    <col min="12" max="12" width="14.85546875" style="6" customWidth="1"/>
    <col min="13" max="13" width="12.5703125" style="5" customWidth="1"/>
    <col min="14" max="14" width="14.140625" style="5" customWidth="1"/>
    <col min="15" max="15" width="16.42578125" style="5" customWidth="1"/>
    <col min="16" max="16" width="15" style="57" customWidth="1"/>
    <col min="17" max="17" width="8" style="57" customWidth="1"/>
    <col min="18" max="18" width="8" style="5" customWidth="1"/>
    <col min="19" max="16384" width="11.42578125" style="5"/>
  </cols>
  <sheetData>
    <row r="1" spans="1:27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56"/>
    </row>
    <row r="2" spans="1:27" s="2" customFormat="1" ht="23.25" customHeight="1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5" t="str">
        <f>+NOMBRE!B7</f>
        <v>ENERO - OCTUBRE 2024</v>
      </c>
      <c r="N2" s="905"/>
      <c r="O2" s="905"/>
      <c r="P2" s="905"/>
      <c r="Q2" s="56"/>
    </row>
    <row r="3" spans="1:27" ht="60.75" thickBot="1" x14ac:dyDescent="0.3">
      <c r="Q3" s="5"/>
      <c r="T3" s="6"/>
      <c r="W3" s="87" t="s">
        <v>45</v>
      </c>
      <c r="X3" s="88">
        <v>12</v>
      </c>
      <c r="Y3" s="6"/>
      <c r="Z3" s="6"/>
    </row>
    <row r="4" spans="1:27" ht="15" customHeight="1" x14ac:dyDescent="0.25">
      <c r="G4" s="59"/>
      <c r="H4" s="906" t="s">
        <v>509</v>
      </c>
      <c r="I4" s="924"/>
      <c r="J4" s="924"/>
      <c r="K4" s="907"/>
      <c r="L4" s="907"/>
      <c r="M4" s="907"/>
      <c r="N4" s="907"/>
      <c r="O4" s="907"/>
      <c r="P4" s="908"/>
      <c r="Q4" s="5"/>
      <c r="T4" s="6"/>
      <c r="W4" s="87" t="s">
        <v>46</v>
      </c>
      <c r="X4" s="88">
        <f>meta3!AB2</f>
        <v>10</v>
      </c>
      <c r="Y4" s="6"/>
    </row>
    <row r="5" spans="1:27" ht="62.25" customHeight="1" thickBot="1" x14ac:dyDescent="0.3">
      <c r="G5" s="535"/>
      <c r="H5" s="909"/>
      <c r="I5" s="910"/>
      <c r="J5" s="910"/>
      <c r="K5" s="910"/>
      <c r="L5" s="910"/>
      <c r="M5" s="910"/>
      <c r="N5" s="910"/>
      <c r="O5" s="910"/>
      <c r="P5" s="911"/>
      <c r="Q5" s="89" t="s">
        <v>47</v>
      </c>
      <c r="R5" s="89" t="s">
        <v>48</v>
      </c>
      <c r="S5" s="89" t="s">
        <v>49</v>
      </c>
      <c r="T5" s="89" t="s">
        <v>50</v>
      </c>
      <c r="U5" s="89" t="s">
        <v>51</v>
      </c>
      <c r="V5" s="89" t="s">
        <v>52</v>
      </c>
      <c r="W5" s="89" t="s">
        <v>45</v>
      </c>
      <c r="X5" s="89" t="s">
        <v>53</v>
      </c>
      <c r="Y5" s="89" t="s">
        <v>54</v>
      </c>
      <c r="Z5" s="89" t="s">
        <v>55</v>
      </c>
      <c r="AA5" s="89" t="s">
        <v>56</v>
      </c>
    </row>
    <row r="6" spans="1:27" ht="45.75" customHeight="1" thickBot="1" x14ac:dyDescent="0.3">
      <c r="G6" s="535"/>
      <c r="H6" s="7" t="s">
        <v>4</v>
      </c>
      <c r="I6" s="776" t="s">
        <v>4</v>
      </c>
      <c r="J6" s="807" t="s">
        <v>4</v>
      </c>
      <c r="K6" s="8" t="s">
        <v>5</v>
      </c>
      <c r="L6" s="912" t="s">
        <v>6</v>
      </c>
      <c r="M6" s="914">
        <f>+NOMBRE!$B$9</f>
        <v>2024</v>
      </c>
      <c r="N6" s="915"/>
      <c r="O6" s="916" t="s">
        <v>7</v>
      </c>
      <c r="P6" s="917"/>
      <c r="Q6" s="90" t="s">
        <v>57</v>
      </c>
      <c r="R6" s="90" t="s">
        <v>58</v>
      </c>
      <c r="S6" s="90" t="s">
        <v>59</v>
      </c>
      <c r="T6" s="91" t="s">
        <v>60</v>
      </c>
      <c r="U6" s="91" t="s">
        <v>61</v>
      </c>
      <c r="V6" s="91" t="s">
        <v>62</v>
      </c>
      <c r="W6" s="91" t="s">
        <v>63</v>
      </c>
      <c r="X6" s="91" t="s">
        <v>64</v>
      </c>
      <c r="Y6" s="91" t="s">
        <v>65</v>
      </c>
      <c r="Z6" s="92" t="s">
        <v>66</v>
      </c>
      <c r="AA6" s="92" t="s">
        <v>67</v>
      </c>
    </row>
    <row r="7" spans="1:27" ht="94.5" customHeight="1" thickBot="1" x14ac:dyDescent="0.3">
      <c r="G7" s="603" t="s">
        <v>431</v>
      </c>
      <c r="H7" s="218" t="s">
        <v>131</v>
      </c>
      <c r="I7" s="218" t="s">
        <v>131</v>
      </c>
      <c r="J7" s="218" t="s">
        <v>131</v>
      </c>
      <c r="K7" s="11" t="s">
        <v>132</v>
      </c>
      <c r="L7" s="913"/>
      <c r="M7" s="12" t="s">
        <v>11</v>
      </c>
      <c r="N7" s="12" t="s">
        <v>12</v>
      </c>
      <c r="O7" s="14" t="s">
        <v>13</v>
      </c>
      <c r="P7" s="14" t="s">
        <v>506</v>
      </c>
      <c r="Q7" s="93" t="s">
        <v>68</v>
      </c>
      <c r="R7" s="93" t="s">
        <v>69</v>
      </c>
      <c r="S7" s="93" t="s">
        <v>70</v>
      </c>
      <c r="T7" s="93" t="s">
        <v>71</v>
      </c>
      <c r="U7" s="93" t="s">
        <v>72</v>
      </c>
      <c r="V7" s="93" t="s">
        <v>73</v>
      </c>
      <c r="W7" s="93" t="s">
        <v>74</v>
      </c>
      <c r="X7" s="93" t="s">
        <v>75</v>
      </c>
      <c r="Y7" s="93" t="s">
        <v>76</v>
      </c>
      <c r="Z7" s="93" t="s">
        <v>77</v>
      </c>
      <c r="AA7" s="93" t="s">
        <v>78</v>
      </c>
    </row>
    <row r="8" spans="1:27" ht="16.5" thickBot="1" x14ac:dyDescent="0.3">
      <c r="G8" s="664"/>
      <c r="H8" s="669" t="s">
        <v>519</v>
      </c>
      <c r="I8" s="669" t="s">
        <v>520</v>
      </c>
      <c r="J8" s="669" t="s">
        <v>537</v>
      </c>
      <c r="K8" s="437"/>
      <c r="L8" s="665"/>
      <c r="M8" s="490">
        <f>indicadores!E38</f>
        <v>0.5423</v>
      </c>
      <c r="N8" s="490">
        <v>1</v>
      </c>
      <c r="O8" s="439"/>
      <c r="P8" s="439">
        <v>6.59</v>
      </c>
      <c r="Q8" s="668"/>
      <c r="R8" s="668"/>
      <c r="S8" s="668"/>
      <c r="T8" s="668"/>
      <c r="U8" s="668"/>
      <c r="V8" s="668"/>
      <c r="W8" s="668"/>
      <c r="X8" s="668"/>
      <c r="Y8" s="668"/>
      <c r="Z8" s="668"/>
      <c r="AA8" s="668"/>
    </row>
    <row r="9" spans="1:27" ht="15" customHeight="1" thickBot="1" x14ac:dyDescent="0.35">
      <c r="A9" s="212"/>
      <c r="B9" s="212"/>
      <c r="C9" s="64"/>
      <c r="D9" s="65"/>
      <c r="E9" s="66"/>
      <c r="F9" s="105"/>
      <c r="G9" s="19" t="s">
        <v>432</v>
      </c>
      <c r="H9" s="69">
        <f>REMP!E6</f>
        <v>5784</v>
      </c>
      <c r="I9" s="69">
        <f>REMP!O6</f>
        <v>5783</v>
      </c>
      <c r="J9" s="69">
        <f>REMP!X6</f>
        <v>5881</v>
      </c>
      <c r="K9" s="69">
        <f>Poblacion2024!AN6</f>
        <v>12679.901157</v>
      </c>
      <c r="L9" s="35">
        <f>+I9/K9</f>
        <v>0.45607611040465146</v>
      </c>
      <c r="M9" s="37">
        <f>$M$8</f>
        <v>0.5423</v>
      </c>
      <c r="N9" s="37">
        <f>+M9*$N$8</f>
        <v>0.5423</v>
      </c>
      <c r="O9" s="109">
        <f t="shared" ref="O9:O16" si="0">IF(+L9/N9&gt;1,1,+L9/N9)</f>
        <v>0.84100333838217123</v>
      </c>
      <c r="P9" s="71">
        <f>+O9*$P$8/100</f>
        <v>5.542211999938508E-2</v>
      </c>
      <c r="Q9" s="144">
        <f>M9</f>
        <v>0.5423</v>
      </c>
      <c r="R9" s="144">
        <f>(V9/T9)</f>
        <v>0.46380487727645775</v>
      </c>
      <c r="S9" s="145">
        <f>R9/Q9</f>
        <v>0.85525516739158725</v>
      </c>
      <c r="T9" s="96">
        <f>K9</f>
        <v>12679.901157</v>
      </c>
      <c r="U9" s="97">
        <f>T9*Q9</f>
        <v>6876.3103974411006</v>
      </c>
      <c r="V9" s="96">
        <f>J9</f>
        <v>5881</v>
      </c>
      <c r="W9" s="97">
        <f>U9/$X$3</f>
        <v>573.02586645342501</v>
      </c>
      <c r="X9" s="97">
        <f>W9*$X$4</f>
        <v>5730.2586645342499</v>
      </c>
      <c r="Y9" s="97">
        <f>J9</f>
        <v>5881</v>
      </c>
      <c r="Z9" s="98">
        <f>Y9/X9</f>
        <v>1.0263062008699047</v>
      </c>
      <c r="AA9" s="427">
        <f>(X9-Y9)*-1</f>
        <v>150.74133546575013</v>
      </c>
    </row>
    <row r="10" spans="1:27" ht="15" customHeight="1" thickBot="1" x14ac:dyDescent="0.35">
      <c r="A10" s="212"/>
      <c r="B10" s="212"/>
      <c r="C10" s="64"/>
      <c r="D10" s="65"/>
      <c r="E10" s="66"/>
      <c r="F10" s="105"/>
      <c r="G10" s="19" t="s">
        <v>433</v>
      </c>
      <c r="H10" s="74">
        <f>REMP!E7</f>
        <v>3504</v>
      </c>
      <c r="I10" s="74">
        <f>REMP!O7</f>
        <v>3546</v>
      </c>
      <c r="J10" s="74">
        <f>REMP!X7</f>
        <v>3593</v>
      </c>
      <c r="K10" s="74">
        <f>Poblacion2024!AN7</f>
        <v>6659.8810000000003</v>
      </c>
      <c r="L10" s="35">
        <f t="shared" ref="L10:L15" si="1">+I10/K10</f>
        <v>0.53244194603477146</v>
      </c>
      <c r="M10" s="42">
        <f t="shared" ref="M10:M16" si="2">$M$8</f>
        <v>0.5423</v>
      </c>
      <c r="N10" s="42">
        <f t="shared" ref="N10:N16" si="3">+M10*$N$8</f>
        <v>0.5423</v>
      </c>
      <c r="O10" s="112">
        <f t="shared" si="0"/>
        <v>0.98182177030199425</v>
      </c>
      <c r="P10" s="71">
        <f t="shared" ref="P10:P16" si="4">+O10*$P$8/100</f>
        <v>6.4702054662901409E-2</v>
      </c>
      <c r="Q10" s="144">
        <f t="shared" ref="Q10:Q16" si="5">M10</f>
        <v>0.5423</v>
      </c>
      <c r="R10" s="144">
        <f t="shared" ref="R10:R16" si="6">(V10/T10)</f>
        <v>0.53949912918864462</v>
      </c>
      <c r="S10" s="145">
        <f t="shared" ref="S10:S16" si="7">R10/Q10</f>
        <v>0.99483520042162021</v>
      </c>
      <c r="T10" s="96">
        <f t="shared" ref="T10:T16" si="8">K10</f>
        <v>6659.8810000000003</v>
      </c>
      <c r="U10" s="97">
        <f t="shared" ref="U10:U16" si="9">T10*Q10</f>
        <v>3611.6534663000002</v>
      </c>
      <c r="V10" s="96">
        <f t="shared" ref="V10:V15" si="10">J10</f>
        <v>3593</v>
      </c>
      <c r="W10" s="97">
        <f t="shared" ref="W10:W16" si="11">U10/$X$3</f>
        <v>300.97112219166667</v>
      </c>
      <c r="X10" s="97">
        <f t="shared" ref="X10:X16" si="12">W10*$X$4</f>
        <v>3009.7112219166665</v>
      </c>
      <c r="Y10" s="97">
        <f t="shared" ref="Y10:Y15" si="13">J10</f>
        <v>3593</v>
      </c>
      <c r="Z10" s="98">
        <f t="shared" ref="Z10:Z16" si="14">Y10/X10</f>
        <v>1.1938022405059443</v>
      </c>
      <c r="AA10" s="427">
        <f t="shared" ref="AA10:AA16" si="15">(X10-Y10)*-1</f>
        <v>583.28877808333345</v>
      </c>
    </row>
    <row r="11" spans="1:27" ht="15" customHeight="1" thickBot="1" x14ac:dyDescent="0.35">
      <c r="A11" s="212"/>
      <c r="B11" s="212"/>
      <c r="C11" s="64"/>
      <c r="D11" s="65"/>
      <c r="E11" s="66"/>
      <c r="F11" s="105"/>
      <c r="G11" s="19" t="s">
        <v>434</v>
      </c>
      <c r="H11" s="74">
        <f>REMP!E8</f>
        <v>1891</v>
      </c>
      <c r="I11" s="74">
        <f>REMP!O8</f>
        <v>1967</v>
      </c>
      <c r="J11" s="74">
        <f>REMP!X8</f>
        <v>2179</v>
      </c>
      <c r="K11" s="74">
        <f>Poblacion2024!AN8</f>
        <v>4539.5740000000005</v>
      </c>
      <c r="L11" s="35">
        <f t="shared" si="1"/>
        <v>0.43330056961291957</v>
      </c>
      <c r="M11" s="42">
        <f t="shared" si="2"/>
        <v>0.5423</v>
      </c>
      <c r="N11" s="42">
        <f t="shared" si="3"/>
        <v>0.5423</v>
      </c>
      <c r="O11" s="112">
        <f t="shared" si="0"/>
        <v>0.79900529155987376</v>
      </c>
      <c r="P11" s="71">
        <f t="shared" si="4"/>
        <v>5.2654448713795682E-2</v>
      </c>
      <c r="Q11" s="144">
        <f t="shared" si="5"/>
        <v>0.5423</v>
      </c>
      <c r="R11" s="144">
        <f t="shared" si="6"/>
        <v>0.48000098687674214</v>
      </c>
      <c r="S11" s="145">
        <f t="shared" si="7"/>
        <v>0.88512075765580334</v>
      </c>
      <c r="T11" s="96">
        <f t="shared" si="8"/>
        <v>4539.5740000000005</v>
      </c>
      <c r="U11" s="97">
        <f t="shared" si="9"/>
        <v>2461.8109802000004</v>
      </c>
      <c r="V11" s="96">
        <f t="shared" si="10"/>
        <v>2179</v>
      </c>
      <c r="W11" s="97">
        <f t="shared" si="11"/>
        <v>205.15091501666669</v>
      </c>
      <c r="X11" s="97">
        <f t="shared" si="12"/>
        <v>2051.509150166667</v>
      </c>
      <c r="Y11" s="97">
        <f t="shared" si="13"/>
        <v>2179</v>
      </c>
      <c r="Z11" s="98">
        <f t="shared" si="14"/>
        <v>1.0621449091869639</v>
      </c>
      <c r="AA11" s="427">
        <f t="shared" si="15"/>
        <v>127.49084983333296</v>
      </c>
    </row>
    <row r="12" spans="1:27" ht="15" customHeight="1" thickBot="1" x14ac:dyDescent="0.35">
      <c r="A12" s="212"/>
      <c r="B12" s="212"/>
      <c r="C12" s="64"/>
      <c r="D12" s="65"/>
      <c r="E12" s="66"/>
      <c r="F12" s="105"/>
      <c r="G12" s="19" t="s">
        <v>435</v>
      </c>
      <c r="H12" s="74">
        <f>REMP!E9</f>
        <v>2883</v>
      </c>
      <c r="I12" s="74">
        <f>REMP!O9</f>
        <v>2825</v>
      </c>
      <c r="J12" s="74">
        <f>REMP!X9</f>
        <v>2836</v>
      </c>
      <c r="K12" s="74">
        <f>Poblacion2024!AN9</f>
        <v>4706.6478352000004</v>
      </c>
      <c r="L12" s="35">
        <f t="shared" si="1"/>
        <v>0.60021486606081642</v>
      </c>
      <c r="M12" s="42">
        <f t="shared" si="2"/>
        <v>0.5423</v>
      </c>
      <c r="N12" s="42">
        <f t="shared" si="3"/>
        <v>0.5423</v>
      </c>
      <c r="O12" s="112">
        <f t="shared" si="0"/>
        <v>1</v>
      </c>
      <c r="P12" s="71">
        <f t="shared" si="4"/>
        <v>6.59E-2</v>
      </c>
      <c r="Q12" s="144">
        <f t="shared" si="5"/>
        <v>0.5423</v>
      </c>
      <c r="R12" s="144">
        <f t="shared" si="6"/>
        <v>0.60255198589326564</v>
      </c>
      <c r="S12" s="145">
        <f t="shared" si="7"/>
        <v>1.1111045286617474</v>
      </c>
      <c r="T12" s="96">
        <f t="shared" si="8"/>
        <v>4706.6478352000004</v>
      </c>
      <c r="U12" s="97">
        <f t="shared" si="9"/>
        <v>2552.4151210289601</v>
      </c>
      <c r="V12" s="96">
        <f t="shared" si="10"/>
        <v>2836</v>
      </c>
      <c r="W12" s="97">
        <f t="shared" si="11"/>
        <v>212.70126008574667</v>
      </c>
      <c r="X12" s="97">
        <f t="shared" si="12"/>
        <v>2127.0126008574666</v>
      </c>
      <c r="Y12" s="97">
        <f t="shared" si="13"/>
        <v>2836</v>
      </c>
      <c r="Z12" s="98">
        <f t="shared" si="14"/>
        <v>1.3333254343940972</v>
      </c>
      <c r="AA12" s="427">
        <f t="shared" si="15"/>
        <v>708.98739914253338</v>
      </c>
    </row>
    <row r="13" spans="1:27" ht="15" customHeight="1" thickBot="1" x14ac:dyDescent="0.35">
      <c r="A13" s="212"/>
      <c r="B13" s="212"/>
      <c r="C13" s="64"/>
      <c r="D13" s="65"/>
      <c r="E13" s="66"/>
      <c r="F13" s="105"/>
      <c r="G13" s="19" t="s">
        <v>436</v>
      </c>
      <c r="H13" s="74">
        <f>REMP!E10</f>
        <v>2779</v>
      </c>
      <c r="I13" s="74">
        <f>REMP!O10</f>
        <v>2846</v>
      </c>
      <c r="J13" s="74">
        <f>REMP!X10</f>
        <v>2894</v>
      </c>
      <c r="K13" s="74">
        <f>Poblacion2024!AN10</f>
        <v>4594.9390000000003</v>
      </c>
      <c r="L13" s="35">
        <f t="shared" si="1"/>
        <v>0.61937710163290516</v>
      </c>
      <c r="M13" s="42">
        <f t="shared" si="2"/>
        <v>0.5423</v>
      </c>
      <c r="N13" s="42">
        <f t="shared" si="3"/>
        <v>0.5423</v>
      </c>
      <c r="O13" s="112">
        <f t="shared" si="0"/>
        <v>1</v>
      </c>
      <c r="P13" s="71">
        <f t="shared" si="4"/>
        <v>6.59E-2</v>
      </c>
      <c r="Q13" s="144">
        <f t="shared" si="5"/>
        <v>0.5423</v>
      </c>
      <c r="R13" s="144">
        <f t="shared" si="6"/>
        <v>0.62982337741589167</v>
      </c>
      <c r="S13" s="145">
        <f t="shared" si="7"/>
        <v>1.1613929142834072</v>
      </c>
      <c r="T13" s="96">
        <f t="shared" si="8"/>
        <v>4594.9390000000003</v>
      </c>
      <c r="U13" s="97">
        <f t="shared" si="9"/>
        <v>2491.8354197000003</v>
      </c>
      <c r="V13" s="96">
        <f t="shared" si="10"/>
        <v>2894</v>
      </c>
      <c r="W13" s="97">
        <f t="shared" si="11"/>
        <v>207.6529516416667</v>
      </c>
      <c r="X13" s="97">
        <f t="shared" si="12"/>
        <v>2076.5295164166669</v>
      </c>
      <c r="Y13" s="97">
        <f t="shared" si="13"/>
        <v>2894</v>
      </c>
      <c r="Z13" s="98">
        <f t="shared" si="14"/>
        <v>1.3936714971400885</v>
      </c>
      <c r="AA13" s="427">
        <f t="shared" si="15"/>
        <v>817.47048358333313</v>
      </c>
    </row>
    <row r="14" spans="1:27" ht="15" customHeight="1" thickBot="1" x14ac:dyDescent="0.35">
      <c r="A14" s="212"/>
      <c r="B14" s="212"/>
      <c r="C14" s="64"/>
      <c r="D14" s="65"/>
      <c r="E14" s="66"/>
      <c r="F14" s="105"/>
      <c r="G14" s="19" t="s">
        <v>437</v>
      </c>
      <c r="H14" s="74">
        <f>REMP!E11</f>
        <v>136</v>
      </c>
      <c r="I14" s="74">
        <f>REMP!O11</f>
        <v>135</v>
      </c>
      <c r="J14" s="74">
        <f>REMP!X11</f>
        <v>136</v>
      </c>
      <c r="K14" s="74">
        <f>Poblacion2024!AN11</f>
        <v>167.00984299999999</v>
      </c>
      <c r="L14" s="35">
        <f t="shared" si="1"/>
        <v>0.80833559013644485</v>
      </c>
      <c r="M14" s="42">
        <f t="shared" si="2"/>
        <v>0.5423</v>
      </c>
      <c r="N14" s="42">
        <f t="shared" si="3"/>
        <v>0.5423</v>
      </c>
      <c r="O14" s="112">
        <f t="shared" si="0"/>
        <v>1</v>
      </c>
      <c r="P14" s="71">
        <f t="shared" si="4"/>
        <v>6.59E-2</v>
      </c>
      <c r="Q14" s="144">
        <f t="shared" si="5"/>
        <v>0.5423</v>
      </c>
      <c r="R14" s="144">
        <f t="shared" si="6"/>
        <v>0.81432326117449261</v>
      </c>
      <c r="S14" s="145">
        <f t="shared" si="7"/>
        <v>1.5016102916734144</v>
      </c>
      <c r="T14" s="96">
        <f t="shared" si="8"/>
        <v>167.00984299999999</v>
      </c>
      <c r="U14" s="97">
        <f t="shared" si="9"/>
        <v>90.569437858899988</v>
      </c>
      <c r="V14" s="96">
        <f t="shared" si="10"/>
        <v>136</v>
      </c>
      <c r="W14" s="97">
        <f t="shared" si="11"/>
        <v>7.5474531549083324</v>
      </c>
      <c r="X14" s="97">
        <f t="shared" si="12"/>
        <v>75.474531549083324</v>
      </c>
      <c r="Y14" s="97">
        <f t="shared" si="13"/>
        <v>136</v>
      </c>
      <c r="Z14" s="98">
        <f t="shared" si="14"/>
        <v>1.8019323500080975</v>
      </c>
      <c r="AA14" s="427">
        <f t="shared" si="15"/>
        <v>60.525468450916676</v>
      </c>
    </row>
    <row r="15" spans="1:27" ht="15" customHeight="1" thickBot="1" x14ac:dyDescent="0.35">
      <c r="A15" s="212"/>
      <c r="B15" s="212"/>
      <c r="C15" s="64"/>
      <c r="D15" s="65"/>
      <c r="E15" s="66"/>
      <c r="F15" s="105"/>
      <c r="G15" s="28" t="s">
        <v>438</v>
      </c>
      <c r="H15" s="114">
        <f>REMP!E12</f>
        <v>830</v>
      </c>
      <c r="I15" s="114">
        <f>REMP!O12</f>
        <v>893</v>
      </c>
      <c r="J15" s="114">
        <f>REMP!X12</f>
        <v>911</v>
      </c>
      <c r="K15" s="114">
        <f>Poblacion2024!AN12</f>
        <v>1242.0981648000002</v>
      </c>
      <c r="L15" s="35">
        <f t="shared" si="1"/>
        <v>0.71894478657714533</v>
      </c>
      <c r="M15" s="55">
        <f t="shared" si="2"/>
        <v>0.5423</v>
      </c>
      <c r="N15" s="55">
        <f t="shared" si="3"/>
        <v>0.5423</v>
      </c>
      <c r="O15" s="115">
        <f t="shared" si="0"/>
        <v>1</v>
      </c>
      <c r="P15" s="71">
        <f t="shared" si="4"/>
        <v>6.59E-2</v>
      </c>
      <c r="Q15" s="144">
        <f t="shared" si="5"/>
        <v>0.5423</v>
      </c>
      <c r="R15" s="144">
        <f t="shared" si="6"/>
        <v>0.73343639481722211</v>
      </c>
      <c r="S15" s="145">
        <f t="shared" si="7"/>
        <v>1.3524550890968507</v>
      </c>
      <c r="T15" s="96">
        <f t="shared" si="8"/>
        <v>1242.0981648000002</v>
      </c>
      <c r="U15" s="97">
        <f t="shared" si="9"/>
        <v>673.58983477104005</v>
      </c>
      <c r="V15" s="96">
        <f t="shared" si="10"/>
        <v>911</v>
      </c>
      <c r="W15" s="97">
        <f t="shared" si="11"/>
        <v>56.132486230920001</v>
      </c>
      <c r="X15" s="97">
        <f t="shared" si="12"/>
        <v>561.32486230920006</v>
      </c>
      <c r="Y15" s="97">
        <f t="shared" si="13"/>
        <v>911</v>
      </c>
      <c r="Z15" s="98">
        <f t="shared" si="14"/>
        <v>1.622946106916221</v>
      </c>
      <c r="AA15" s="427">
        <f t="shared" si="15"/>
        <v>349.67513769079994</v>
      </c>
    </row>
    <row r="16" spans="1:27" ht="15" customHeight="1" thickBot="1" x14ac:dyDescent="0.35">
      <c r="A16" s="212"/>
      <c r="B16" s="212"/>
      <c r="C16" s="64"/>
      <c r="D16" s="65"/>
      <c r="E16" s="66"/>
      <c r="F16" s="105"/>
      <c r="G16" s="534" t="s">
        <v>15</v>
      </c>
      <c r="H16" s="536">
        <f>SUM(H9:H15)</f>
        <v>17807</v>
      </c>
      <c r="I16" s="536">
        <f>SUM(I9:I15)</f>
        <v>17995</v>
      </c>
      <c r="J16" s="536">
        <f>SUM(J9:J15)</f>
        <v>18430</v>
      </c>
      <c r="K16" s="536">
        <f>Poblacion2024!AN13</f>
        <v>34590.051000000007</v>
      </c>
      <c r="L16" s="475">
        <f>+I16/K16</f>
        <v>0.52023629569091978</v>
      </c>
      <c r="M16" s="506">
        <f t="shared" si="2"/>
        <v>0.5423</v>
      </c>
      <c r="N16" s="506">
        <f t="shared" si="3"/>
        <v>0.5423</v>
      </c>
      <c r="O16" s="507">
        <f t="shared" si="0"/>
        <v>0.9593145780765624</v>
      </c>
      <c r="P16" s="508">
        <f t="shared" si="4"/>
        <v>6.3218830695245462E-2</v>
      </c>
      <c r="Q16" s="144">
        <f t="shared" si="5"/>
        <v>0.5423</v>
      </c>
      <c r="R16" s="144">
        <f t="shared" si="6"/>
        <v>0.53281216613412907</v>
      </c>
      <c r="S16" s="145">
        <f t="shared" si="7"/>
        <v>0.98250445534598763</v>
      </c>
      <c r="T16" s="96">
        <f t="shared" si="8"/>
        <v>34590.051000000007</v>
      </c>
      <c r="U16" s="97">
        <f t="shared" si="9"/>
        <v>18758.184657300004</v>
      </c>
      <c r="V16" s="96">
        <f>J16</f>
        <v>18430</v>
      </c>
      <c r="W16" s="97">
        <f t="shared" si="11"/>
        <v>1563.1820547750003</v>
      </c>
      <c r="X16" s="97">
        <f t="shared" si="12"/>
        <v>15631.820547750003</v>
      </c>
      <c r="Y16" s="97">
        <f>J16</f>
        <v>18430</v>
      </c>
      <c r="Z16" s="98">
        <f t="shared" si="14"/>
        <v>1.1790053464151851</v>
      </c>
      <c r="AA16" s="427">
        <f t="shared" si="15"/>
        <v>2798.1794522499968</v>
      </c>
    </row>
    <row r="17" spans="8:18" x14ac:dyDescent="0.25">
      <c r="H17" s="64"/>
      <c r="I17" s="64"/>
      <c r="J17" s="64"/>
      <c r="K17" s="64"/>
      <c r="M17" s="57"/>
      <c r="Q17" s="121"/>
      <c r="R17" s="121"/>
    </row>
    <row r="36" spans="7:11" x14ac:dyDescent="0.25">
      <c r="G36" s="5" t="s">
        <v>21</v>
      </c>
      <c r="H36" s="15">
        <f>+H11</f>
        <v>1891</v>
      </c>
      <c r="I36" s="15"/>
      <c r="J36" s="15"/>
      <c r="K36" s="15">
        <f>+K11</f>
        <v>4539.5740000000005</v>
      </c>
    </row>
    <row r="37" spans="7:11" x14ac:dyDescent="0.25">
      <c r="G37" s="5" t="s">
        <v>22</v>
      </c>
      <c r="H37" s="15" t="e">
        <f>+#REF!</f>
        <v>#REF!</v>
      </c>
      <c r="I37" s="15"/>
      <c r="J37" s="15"/>
      <c r="K37" s="15" t="e">
        <f>+#REF!</f>
        <v>#REF!</v>
      </c>
    </row>
    <row r="38" spans="7:11" x14ac:dyDescent="0.25">
      <c r="G38" s="5" t="s">
        <v>23</v>
      </c>
      <c r="H38" s="15" t="e">
        <f>+#REF!</f>
        <v>#REF!</v>
      </c>
      <c r="I38" s="15"/>
      <c r="J38" s="15"/>
      <c r="K38" s="15" t="e">
        <f>+#REF!</f>
        <v>#REF!</v>
      </c>
    </row>
    <row r="39" spans="7:11" x14ac:dyDescent="0.25">
      <c r="G39" s="5" t="s">
        <v>24</v>
      </c>
      <c r="H39" s="15" t="e">
        <f>+#REF!</f>
        <v>#REF!</v>
      </c>
      <c r="I39" s="15"/>
      <c r="J39" s="15"/>
      <c r="K39" s="15" t="e">
        <f>+#REF!</f>
        <v>#REF!</v>
      </c>
    </row>
    <row r="40" spans="7:11" x14ac:dyDescent="0.25">
      <c r="G40" s="5" t="s">
        <v>25</v>
      </c>
      <c r="H40" s="15">
        <f>+H14</f>
        <v>136</v>
      </c>
      <c r="I40" s="15"/>
      <c r="J40" s="15"/>
      <c r="K40" s="15">
        <f>+K14</f>
        <v>167.00984299999999</v>
      </c>
    </row>
    <row r="41" spans="7:11" x14ac:dyDescent="0.25">
      <c r="G41" s="5" t="s">
        <v>26</v>
      </c>
      <c r="H41" s="15">
        <f>+H9</f>
        <v>5784</v>
      </c>
      <c r="I41" s="15"/>
      <c r="J41" s="15"/>
      <c r="K41" s="15">
        <f>+K9</f>
        <v>12679.901157</v>
      </c>
    </row>
    <row r="42" spans="7:11" x14ac:dyDescent="0.25">
      <c r="G42" s="5" t="s">
        <v>27</v>
      </c>
      <c r="H42" s="15" t="e">
        <f>+#REF!</f>
        <v>#REF!</v>
      </c>
      <c r="I42" s="15"/>
      <c r="J42" s="15"/>
      <c r="K42" s="15" t="e">
        <f>+#REF!</f>
        <v>#REF!</v>
      </c>
    </row>
    <row r="43" spans="7:11" x14ac:dyDescent="0.25">
      <c r="G43" s="5" t="s">
        <v>28</v>
      </c>
      <c r="H43" s="15" t="e">
        <f>+#REF!</f>
        <v>#REF!</v>
      </c>
      <c r="I43" s="15"/>
      <c r="J43" s="15"/>
      <c r="K43" s="15" t="e">
        <f>+#REF!</f>
        <v>#REF!</v>
      </c>
    </row>
    <row r="44" spans="7:11" x14ac:dyDescent="0.25">
      <c r="G44" s="5" t="s">
        <v>29</v>
      </c>
      <c r="H44" s="15" t="e">
        <f>+#REF!</f>
        <v>#REF!</v>
      </c>
      <c r="I44" s="15"/>
      <c r="J44" s="15"/>
      <c r="K44" s="15" t="e">
        <f>+#REF!</f>
        <v>#REF!</v>
      </c>
    </row>
    <row r="45" spans="7:11" x14ac:dyDescent="0.25">
      <c r="G45" s="5" t="s">
        <v>30</v>
      </c>
      <c r="H45" s="15" t="e">
        <f>+#REF!</f>
        <v>#REF!</v>
      </c>
      <c r="I45" s="15"/>
      <c r="J45" s="15"/>
      <c r="K45" s="15" t="e">
        <f>+#REF!</f>
        <v>#REF!</v>
      </c>
    </row>
    <row r="46" spans="7:11" x14ac:dyDescent="0.25">
      <c r="G46" s="5" t="s">
        <v>31</v>
      </c>
      <c r="H46" s="15">
        <f>+H10</f>
        <v>3504</v>
      </c>
      <c r="I46" s="15"/>
      <c r="J46" s="15"/>
      <c r="K46" s="15">
        <f>+K10</f>
        <v>6659.8810000000003</v>
      </c>
    </row>
    <row r="47" spans="7:11" x14ac:dyDescent="0.25">
      <c r="G47" s="5" t="s">
        <v>32</v>
      </c>
      <c r="H47" s="15">
        <f>+H12</f>
        <v>2883</v>
      </c>
      <c r="I47" s="15"/>
      <c r="J47" s="15"/>
      <c r="K47" s="15">
        <f>+K12</f>
        <v>4706.6478352000004</v>
      </c>
    </row>
    <row r="48" spans="7:11" x14ac:dyDescent="0.25">
      <c r="G48" s="5" t="s">
        <v>33</v>
      </c>
      <c r="H48" s="15">
        <f>+H13</f>
        <v>2779</v>
      </c>
      <c r="I48" s="15"/>
      <c r="J48" s="15"/>
      <c r="K48" s="15">
        <f>+K13</f>
        <v>4594.9390000000003</v>
      </c>
    </row>
    <row r="49" spans="7:11" x14ac:dyDescent="0.25">
      <c r="G49" s="5" t="s">
        <v>34</v>
      </c>
      <c r="H49" s="15" t="e">
        <f>+#REF!</f>
        <v>#REF!</v>
      </c>
      <c r="I49" s="15"/>
      <c r="J49" s="15"/>
      <c r="K49" s="15" t="e">
        <f>+#REF!</f>
        <v>#REF!</v>
      </c>
    </row>
    <row r="50" spans="7:11" x14ac:dyDescent="0.25">
      <c r="G50" s="5" t="s">
        <v>35</v>
      </c>
      <c r="H50" s="15">
        <f>+H16</f>
        <v>17807</v>
      </c>
      <c r="I50" s="15"/>
      <c r="J50" s="15"/>
      <c r="K50" s="15">
        <f>+K16</f>
        <v>34590.051000000007</v>
      </c>
    </row>
    <row r="51" spans="7:11" x14ac:dyDescent="0.25">
      <c r="G51" s="5" t="s">
        <v>36</v>
      </c>
      <c r="H51" s="15" t="e">
        <f>+#REF!</f>
        <v>#REF!</v>
      </c>
      <c r="I51" s="15"/>
      <c r="J51" s="15"/>
      <c r="K51" s="15" t="e">
        <f>+#REF!</f>
        <v>#REF!</v>
      </c>
    </row>
    <row r="52" spans="7:11" x14ac:dyDescent="0.25">
      <c r="G52" s="5" t="s">
        <v>37</v>
      </c>
      <c r="H52" s="15" t="e">
        <f>+#REF!</f>
        <v>#REF!</v>
      </c>
      <c r="I52" s="15"/>
      <c r="J52" s="15"/>
      <c r="K52" s="15" t="e">
        <f>+#REF!</f>
        <v>#REF!</v>
      </c>
    </row>
  </sheetData>
  <autoFilter ref="G4:G16" xr:uid="{00000000-0001-0000-1200-000000000000}"/>
  <mergeCells count="7">
    <mergeCell ref="G1:P1"/>
    <mergeCell ref="G2:L2"/>
    <mergeCell ref="M2:P2"/>
    <mergeCell ref="H4:P5"/>
    <mergeCell ref="L6:L7"/>
    <mergeCell ref="M6:N6"/>
    <mergeCell ref="O6:P6"/>
  </mergeCells>
  <phoneticPr fontId="65" type="noConversion"/>
  <conditionalFormatting sqref="AA9:AA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1B19-DB48-479E-B699-B9D4F28C52F7}">
  <sheetPr codeName="Hoja22">
    <tabColor rgb="FFFF0000"/>
  </sheetPr>
  <dimension ref="A1:AM20"/>
  <sheetViews>
    <sheetView zoomScale="80" zoomScaleNormal="80" workbookViewId="0">
      <selection activeCell="Q9" sqref="Q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1.140625" style="5" customWidth="1"/>
    <col min="8" max="8" width="5.570312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4" width="4.7109375" style="5" bestFit="1" customWidth="1"/>
    <col min="15" max="15" width="5" style="5" bestFit="1" customWidth="1"/>
    <col min="16" max="16" width="5.140625" style="5" bestFit="1" customWidth="1"/>
    <col min="17" max="17" width="5.85546875" style="5" bestFit="1" customWidth="1"/>
    <col min="18" max="18" width="4.85546875" style="5" bestFit="1" customWidth="1"/>
    <col min="19" max="19" width="5.28515625" style="5" bestFit="1" customWidth="1"/>
    <col min="20" max="20" width="4.42578125" style="5" bestFit="1" customWidth="1"/>
    <col min="21" max="21" width="6.42578125" style="5" bestFit="1" customWidth="1"/>
    <col min="22" max="22" width="22.28515625" style="5" customWidth="1"/>
    <col min="23" max="23" width="14.85546875" style="6" customWidth="1"/>
    <col min="24" max="24" width="12.5703125" style="5" customWidth="1"/>
    <col min="25" max="25" width="18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5" t="str">
        <f>+NOMBRE!B7</f>
        <v>ENERO - OCTUBRE 2024</v>
      </c>
      <c r="Y2" s="905"/>
      <c r="Z2" s="905"/>
      <c r="AA2" s="905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906" t="s">
        <v>510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07"/>
      <c r="W4" s="907"/>
      <c r="X4" s="907"/>
      <c r="Y4" s="907"/>
      <c r="Z4" s="907"/>
      <c r="AA4" s="908"/>
      <c r="AB4" s="5"/>
      <c r="AC4" s="5"/>
      <c r="AE4" s="6"/>
      <c r="AG4" s="5"/>
      <c r="AH4" s="87" t="s">
        <v>45</v>
      </c>
      <c r="AI4" s="88">
        <v>12</v>
      </c>
      <c r="AJ4" s="6"/>
      <c r="AK4" s="6"/>
      <c r="AL4" s="5"/>
    </row>
    <row r="5" spans="1:39" ht="23.25" customHeight="1" thickBot="1" x14ac:dyDescent="0.3">
      <c r="G5" s="58"/>
      <c r="H5" s="909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1"/>
      <c r="AB5" s="5"/>
      <c r="AC5" s="5"/>
      <c r="AE5" s="6"/>
      <c r="AG5" s="5"/>
      <c r="AH5" s="87" t="s">
        <v>46</v>
      </c>
      <c r="AI5" s="88">
        <f>meta3!AB2</f>
        <v>10</v>
      </c>
      <c r="AJ5" s="6"/>
      <c r="AL5" s="5"/>
    </row>
    <row r="6" spans="1:39" ht="43.5" customHeight="1" thickBot="1" x14ac:dyDescent="0.3">
      <c r="G6" s="58"/>
      <c r="H6" s="933" t="s">
        <v>4</v>
      </c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5"/>
      <c r="V6" s="61" t="s">
        <v>5</v>
      </c>
      <c r="W6" s="912" t="s">
        <v>6</v>
      </c>
      <c r="X6" s="914">
        <f>+NOMBRE!$B$9</f>
        <v>2024</v>
      </c>
      <c r="Y6" s="939"/>
      <c r="Z6" s="1003" t="s">
        <v>7</v>
      </c>
      <c r="AA6" s="917"/>
      <c r="AB6" s="89" t="s">
        <v>47</v>
      </c>
      <c r="AC6" s="89" t="s">
        <v>48</v>
      </c>
      <c r="AD6" s="567" t="s">
        <v>49</v>
      </c>
      <c r="AE6" s="89" t="s">
        <v>50</v>
      </c>
      <c r="AF6" s="89" t="s">
        <v>51</v>
      </c>
      <c r="AG6" s="89" t="s">
        <v>52</v>
      </c>
      <c r="AH6" s="89" t="s">
        <v>45</v>
      </c>
      <c r="AI6" s="89" t="s">
        <v>53</v>
      </c>
      <c r="AJ6" s="89" t="s">
        <v>54</v>
      </c>
      <c r="AK6" s="570" t="s">
        <v>55</v>
      </c>
      <c r="AL6" s="89" t="s">
        <v>56</v>
      </c>
    </row>
    <row r="7" spans="1:39" ht="69" customHeight="1" thickBot="1" x14ac:dyDescent="0.3">
      <c r="G7" s="603" t="s">
        <v>431</v>
      </c>
      <c r="H7" s="918" t="s">
        <v>133</v>
      </c>
      <c r="I7" s="919"/>
      <c r="J7" s="919"/>
      <c r="K7" s="919"/>
      <c r="L7" s="919"/>
      <c r="M7" s="919"/>
      <c r="N7" s="919"/>
      <c r="O7" s="919"/>
      <c r="P7" s="919"/>
      <c r="Q7" s="919"/>
      <c r="R7" s="919"/>
      <c r="S7" s="919"/>
      <c r="T7" s="919"/>
      <c r="U7" s="920"/>
      <c r="V7" s="11" t="s">
        <v>134</v>
      </c>
      <c r="W7" s="913"/>
      <c r="X7" s="12" t="s">
        <v>11</v>
      </c>
      <c r="Y7" s="12" t="s">
        <v>43</v>
      </c>
      <c r="Z7" s="14" t="s">
        <v>13</v>
      </c>
      <c r="AA7" s="14" t="s">
        <v>504</v>
      </c>
      <c r="AB7" s="90" t="s">
        <v>57</v>
      </c>
      <c r="AC7" s="90" t="s">
        <v>58</v>
      </c>
      <c r="AD7" s="491" t="s">
        <v>59</v>
      </c>
      <c r="AE7" s="495" t="s">
        <v>60</v>
      </c>
      <c r="AF7" s="495" t="s">
        <v>61</v>
      </c>
      <c r="AG7" s="495" t="s">
        <v>62</v>
      </c>
      <c r="AH7" s="495" t="s">
        <v>63</v>
      </c>
      <c r="AI7" s="495" t="s">
        <v>64</v>
      </c>
      <c r="AJ7" s="495" t="s">
        <v>65</v>
      </c>
      <c r="AK7" s="493" t="s">
        <v>66</v>
      </c>
      <c r="AL7" s="92" t="s">
        <v>67</v>
      </c>
    </row>
    <row r="8" spans="1:39" ht="17.25" customHeight="1" thickBot="1" x14ac:dyDescent="0.3">
      <c r="G8" s="435"/>
      <c r="H8" s="442"/>
      <c r="I8" s="448" t="s">
        <v>189</v>
      </c>
      <c r="J8" s="448" t="s">
        <v>190</v>
      </c>
      <c r="K8" s="448" t="s">
        <v>191</v>
      </c>
      <c r="L8" s="448" t="s">
        <v>192</v>
      </c>
      <c r="M8" s="448" t="s">
        <v>193</v>
      </c>
      <c r="N8" s="448" t="s">
        <v>194</v>
      </c>
      <c r="O8" s="448" t="s">
        <v>195</v>
      </c>
      <c r="P8" s="448" t="s">
        <v>196</v>
      </c>
      <c r="Q8" s="448" t="s">
        <v>423</v>
      </c>
      <c r="R8" s="448" t="s">
        <v>198</v>
      </c>
      <c r="S8" s="448" t="s">
        <v>199</v>
      </c>
      <c r="T8" s="448" t="s">
        <v>200</v>
      </c>
      <c r="U8" s="449" t="s">
        <v>201</v>
      </c>
      <c r="V8" s="11"/>
      <c r="W8" s="479"/>
      <c r="X8" s="480">
        <f>indicadores!E43</f>
        <v>0.95</v>
      </c>
      <c r="Y8" s="480">
        <f>indicadores!$D$54</f>
        <v>0.7</v>
      </c>
      <c r="Z8" s="471"/>
      <c r="AA8" s="471">
        <v>5.49</v>
      </c>
      <c r="AB8" s="93" t="s">
        <v>68</v>
      </c>
      <c r="AC8" s="93" t="s">
        <v>69</v>
      </c>
      <c r="AD8" s="93" t="s">
        <v>70</v>
      </c>
      <c r="AE8" s="489" t="s">
        <v>71</v>
      </c>
      <c r="AF8" s="489" t="s">
        <v>72</v>
      </c>
      <c r="AG8" s="489" t="s">
        <v>73</v>
      </c>
      <c r="AH8" s="489" t="s">
        <v>74</v>
      </c>
      <c r="AI8" s="489" t="s">
        <v>75</v>
      </c>
      <c r="AJ8" s="489" t="s">
        <v>76</v>
      </c>
      <c r="AK8" s="93" t="s">
        <v>77</v>
      </c>
      <c r="AL8" s="93" t="s">
        <v>78</v>
      </c>
    </row>
    <row r="9" spans="1:39" ht="15" customHeight="1" thickBot="1" x14ac:dyDescent="0.35">
      <c r="A9"/>
      <c r="B9"/>
      <c r="C9" s="64"/>
      <c r="D9" s="65"/>
      <c r="E9" s="66"/>
      <c r="F9" s="105"/>
      <c r="G9" s="19" t="s">
        <v>432</v>
      </c>
      <c r="H9" s="33"/>
      <c r="I9" s="33">
        <f>REMC!CZ6</f>
        <v>21</v>
      </c>
      <c r="J9" s="33">
        <f>REMC!DA6</f>
        <v>21</v>
      </c>
      <c r="K9" s="33">
        <f>REMC!DB6</f>
        <v>27</v>
      </c>
      <c r="L9" s="33">
        <f>REMC!DC6</f>
        <v>45</v>
      </c>
      <c r="M9" s="33">
        <f>REMC!DD6</f>
        <v>16</v>
      </c>
      <c r="N9" s="33">
        <f>REMC!DE6</f>
        <v>17</v>
      </c>
      <c r="O9" s="33">
        <f>REMC!DF6</f>
        <v>45</v>
      </c>
      <c r="P9" s="33">
        <f>REMC!DG6</f>
        <v>19</v>
      </c>
      <c r="Q9" s="33">
        <f>REMC!DH6</f>
        <v>28</v>
      </c>
      <c r="R9" s="33">
        <f>REMC!DI6</f>
        <v>25</v>
      </c>
      <c r="S9" s="33">
        <f>REMC!DJ6</f>
        <v>0</v>
      </c>
      <c r="T9" s="33">
        <f>REMC!DK6</f>
        <v>0</v>
      </c>
      <c r="U9" s="526">
        <f>SUM(I9:T9)</f>
        <v>264</v>
      </c>
      <c r="V9" s="44">
        <f>Poblacion2024!AP6</f>
        <v>321.762</v>
      </c>
      <c r="W9" s="45">
        <f t="shared" ref="W9:W15" si="0">IF(V9=0,0,+U9/V9)</f>
        <v>0.82048221977735092</v>
      </c>
      <c r="X9" s="46">
        <f>X8</f>
        <v>0.95</v>
      </c>
      <c r="Y9" s="46">
        <f>+X9*$Y$8</f>
        <v>0.66499999999999992</v>
      </c>
      <c r="Z9" s="143">
        <f t="shared" ref="Z9:Z16" si="1">IF(+W9/Y9&gt;1,1,+W9/Y9)</f>
        <v>1</v>
      </c>
      <c r="AA9" s="77">
        <f>+Z9*$AA$8/100</f>
        <v>5.4900000000000004E-2</v>
      </c>
      <c r="AB9" s="144">
        <f>X9</f>
        <v>0.95</v>
      </c>
      <c r="AC9" s="144">
        <f>(AG9/AE9)</f>
        <v>0.82048221977735092</v>
      </c>
      <c r="AD9" s="492">
        <f>AC9/AB9</f>
        <v>0.86366549450247465</v>
      </c>
      <c r="AE9" s="496">
        <f>V9</f>
        <v>321.762</v>
      </c>
      <c r="AF9" s="497">
        <f>AE9*AB9</f>
        <v>305.6739</v>
      </c>
      <c r="AG9" s="496">
        <f>U9</f>
        <v>264</v>
      </c>
      <c r="AH9" s="497">
        <f>AF9/$AI$4</f>
        <v>25.472825</v>
      </c>
      <c r="AI9" s="497">
        <f>AH9*$AI$5</f>
        <v>254.72825</v>
      </c>
      <c r="AJ9" s="497">
        <f>U9</f>
        <v>264</v>
      </c>
      <c r="AK9" s="494">
        <f>AJ9/AI9</f>
        <v>1.0363985934029696</v>
      </c>
      <c r="AL9" s="427">
        <f>(AI9-AJ9)*-1</f>
        <v>9.2717499999999973</v>
      </c>
    </row>
    <row r="10" spans="1:39" ht="15" customHeight="1" thickBot="1" x14ac:dyDescent="0.35">
      <c r="A10"/>
      <c r="B10"/>
      <c r="C10" s="64"/>
      <c r="D10" s="65"/>
      <c r="E10" s="66"/>
      <c r="F10" s="105"/>
      <c r="G10" s="19" t="s">
        <v>433</v>
      </c>
      <c r="H10" s="38"/>
      <c r="I10" s="38">
        <f>REMC!CZ7</f>
        <v>25</v>
      </c>
      <c r="J10" s="38">
        <f>REMC!DA7</f>
        <v>14</v>
      </c>
      <c r="K10" s="38">
        <f>REMC!DB7</f>
        <v>23</v>
      </c>
      <c r="L10" s="38">
        <f>REMC!DC7</f>
        <v>18</v>
      </c>
      <c r="M10" s="38">
        <f>REMC!DD7</f>
        <v>14</v>
      </c>
      <c r="N10" s="38">
        <f>REMC!DE7</f>
        <v>18</v>
      </c>
      <c r="O10" s="38">
        <f>REMC!DF7</f>
        <v>24</v>
      </c>
      <c r="P10" s="38">
        <f>REMC!DG7</f>
        <v>25</v>
      </c>
      <c r="Q10" s="38">
        <f>REMC!DH7</f>
        <v>16</v>
      </c>
      <c r="R10" s="38">
        <f>REMC!DI7</f>
        <v>26</v>
      </c>
      <c r="S10" s="38">
        <f>REMC!DJ7</f>
        <v>0</v>
      </c>
      <c r="T10" s="38">
        <f>REMC!DK7</f>
        <v>0</v>
      </c>
      <c r="U10" s="526">
        <f t="shared" ref="U10:U16" si="2">SUM(I10:T10)</f>
        <v>203</v>
      </c>
      <c r="V10" s="38">
        <f>Poblacion2024!AP7</f>
        <v>106</v>
      </c>
      <c r="W10" s="40">
        <f t="shared" si="0"/>
        <v>1.9150943396226414</v>
      </c>
      <c r="X10" s="42">
        <f t="shared" ref="X10:X16" si="3">X9</f>
        <v>0.95</v>
      </c>
      <c r="Y10" s="46">
        <f t="shared" ref="Y10:Y16" si="4">+X10*$Y$8</f>
        <v>0.66499999999999992</v>
      </c>
      <c r="Z10" s="112">
        <f t="shared" si="1"/>
        <v>1</v>
      </c>
      <c r="AA10" s="77">
        <f t="shared" ref="AA10:AA16" si="5">+Z10*$AA$8/100</f>
        <v>5.4900000000000004E-2</v>
      </c>
      <c r="AB10" s="144">
        <f t="shared" ref="AB10:AB16" si="6">X10</f>
        <v>0.95</v>
      </c>
      <c r="AC10" s="144">
        <f t="shared" ref="AC10:AC16" si="7">(AG10/AE10)</f>
        <v>1.9150943396226414</v>
      </c>
      <c r="AD10" s="492">
        <f t="shared" ref="AD10:AD16" si="8">AC10/AB10</f>
        <v>2.0158887785501491</v>
      </c>
      <c r="AE10" s="496">
        <f t="shared" ref="AE10:AE16" si="9">V10</f>
        <v>106</v>
      </c>
      <c r="AF10" s="497">
        <f t="shared" ref="AF10:AF16" si="10">AE10*AB10</f>
        <v>100.69999999999999</v>
      </c>
      <c r="AG10" s="496">
        <f t="shared" ref="AG10:AG16" si="11">U10</f>
        <v>203</v>
      </c>
      <c r="AH10" s="497">
        <f t="shared" ref="AH10:AH16" si="12">AF10/$AI$4</f>
        <v>8.3916666666666657</v>
      </c>
      <c r="AI10" s="497">
        <f t="shared" ref="AI10:AI16" si="13">AH10*$AI$5</f>
        <v>83.916666666666657</v>
      </c>
      <c r="AJ10" s="497">
        <f t="shared" ref="AJ10:AJ16" si="14">U10</f>
        <v>203</v>
      </c>
      <c r="AK10" s="494">
        <f t="shared" ref="AK10:AK16" si="15">AJ10/AI10</f>
        <v>2.4190665342601791</v>
      </c>
      <c r="AL10" s="427">
        <f t="shared" ref="AL10:AL16" si="16">(AI10-AJ10)*-1</f>
        <v>119.08333333333334</v>
      </c>
    </row>
    <row r="11" spans="1:39" ht="15" customHeight="1" thickBot="1" x14ac:dyDescent="0.35">
      <c r="A11"/>
      <c r="B11"/>
      <c r="C11" s="64"/>
      <c r="D11" s="65"/>
      <c r="E11" s="66"/>
      <c r="F11" s="105"/>
      <c r="G11" s="19" t="s">
        <v>434</v>
      </c>
      <c r="H11" s="38"/>
      <c r="I11" s="38">
        <f>REMC!CZ8</f>
        <v>26</v>
      </c>
      <c r="J11" s="38">
        <f>REMC!DA8</f>
        <v>22</v>
      </c>
      <c r="K11" s="38">
        <f>REMC!DB8</f>
        <v>38</v>
      </c>
      <c r="L11" s="38">
        <f>REMC!DC8</f>
        <v>29</v>
      </c>
      <c r="M11" s="38">
        <f>REMC!DD8</f>
        <v>30</v>
      </c>
      <c r="N11" s="38">
        <f>REMC!DE8</f>
        <v>22</v>
      </c>
      <c r="O11" s="38">
        <f>REMC!DF8</f>
        <v>14</v>
      </c>
      <c r="P11" s="38">
        <f>REMC!DG8</f>
        <v>15</v>
      </c>
      <c r="Q11" s="38">
        <f>REMC!DH8</f>
        <v>16</v>
      </c>
      <c r="R11" s="38">
        <f>REMC!DI8</f>
        <v>22</v>
      </c>
      <c r="S11" s="38">
        <f>REMC!DJ8</f>
        <v>0</v>
      </c>
      <c r="T11" s="38">
        <f>REMC!DK8</f>
        <v>0</v>
      </c>
      <c r="U11" s="526">
        <f t="shared" si="2"/>
        <v>234</v>
      </c>
      <c r="V11" s="38">
        <f>Poblacion2024!AP8</f>
        <v>496</v>
      </c>
      <c r="W11" s="40">
        <f t="shared" si="0"/>
        <v>0.47177419354838712</v>
      </c>
      <c r="X11" s="42">
        <f t="shared" si="3"/>
        <v>0.95</v>
      </c>
      <c r="Y11" s="46">
        <f t="shared" si="4"/>
        <v>0.66499999999999992</v>
      </c>
      <c r="Z11" s="112">
        <f t="shared" si="1"/>
        <v>0.70943487751637169</v>
      </c>
      <c r="AA11" s="77">
        <f t="shared" si="5"/>
        <v>3.8947974775648805E-2</v>
      </c>
      <c r="AB11" s="144">
        <f t="shared" si="6"/>
        <v>0.95</v>
      </c>
      <c r="AC11" s="144">
        <f t="shared" si="7"/>
        <v>0.47177419354838712</v>
      </c>
      <c r="AD11" s="492">
        <f t="shared" si="8"/>
        <v>0.49660441426146013</v>
      </c>
      <c r="AE11" s="496">
        <f t="shared" si="9"/>
        <v>496</v>
      </c>
      <c r="AF11" s="497">
        <f t="shared" si="10"/>
        <v>471.2</v>
      </c>
      <c r="AG11" s="496">
        <f t="shared" si="11"/>
        <v>234</v>
      </c>
      <c r="AH11" s="497">
        <f t="shared" si="12"/>
        <v>39.266666666666666</v>
      </c>
      <c r="AI11" s="497">
        <f t="shared" si="13"/>
        <v>392.66666666666663</v>
      </c>
      <c r="AJ11" s="497">
        <f t="shared" si="14"/>
        <v>234</v>
      </c>
      <c r="AK11" s="494">
        <f t="shared" si="15"/>
        <v>0.59592529711375219</v>
      </c>
      <c r="AL11" s="427">
        <f t="shared" si="16"/>
        <v>-158.66666666666663</v>
      </c>
    </row>
    <row r="12" spans="1:39" ht="15" customHeight="1" thickBot="1" x14ac:dyDescent="0.35">
      <c r="A12"/>
      <c r="B12"/>
      <c r="C12" s="64"/>
      <c r="D12" s="65"/>
      <c r="E12" s="66"/>
      <c r="F12" s="105"/>
      <c r="G12" s="19" t="s">
        <v>435</v>
      </c>
      <c r="H12" s="38"/>
      <c r="I12" s="38">
        <f>REMC!CZ9</f>
        <v>39</v>
      </c>
      <c r="J12" s="38">
        <f>REMC!DA9</f>
        <v>33</v>
      </c>
      <c r="K12" s="38">
        <f>REMC!DB9</f>
        <v>30</v>
      </c>
      <c r="L12" s="38">
        <f>REMC!DC9</f>
        <v>25</v>
      </c>
      <c r="M12" s="38">
        <f>REMC!DD9</f>
        <v>21</v>
      </c>
      <c r="N12" s="38">
        <f>REMC!DE9</f>
        <v>23</v>
      </c>
      <c r="O12" s="38">
        <f>REMC!DF9</f>
        <v>16</v>
      </c>
      <c r="P12" s="38">
        <f>REMC!DG9</f>
        <v>18</v>
      </c>
      <c r="Q12" s="38">
        <f>REMC!DH9</f>
        <v>23</v>
      </c>
      <c r="R12" s="38">
        <f>REMC!DI9</f>
        <v>41</v>
      </c>
      <c r="S12" s="38">
        <f>REMC!DJ9</f>
        <v>0</v>
      </c>
      <c r="T12" s="38">
        <f>REMC!DK9</f>
        <v>0</v>
      </c>
      <c r="U12" s="526">
        <f t="shared" si="2"/>
        <v>269</v>
      </c>
      <c r="V12" s="38">
        <f>Poblacion2024!AP9</f>
        <v>304.61200000000002</v>
      </c>
      <c r="W12" s="40">
        <f>IF(V12=0,0,+U12/V12)</f>
        <v>0.88309062019881024</v>
      </c>
      <c r="X12" s="42">
        <f t="shared" si="3"/>
        <v>0.95</v>
      </c>
      <c r="Y12" s="46">
        <f t="shared" si="4"/>
        <v>0.66499999999999992</v>
      </c>
      <c r="Z12" s="112">
        <f t="shared" si="1"/>
        <v>1</v>
      </c>
      <c r="AA12" s="77">
        <f t="shared" si="5"/>
        <v>5.4900000000000004E-2</v>
      </c>
      <c r="AB12" s="144">
        <f t="shared" si="6"/>
        <v>0.95</v>
      </c>
      <c r="AC12" s="144">
        <f t="shared" si="7"/>
        <v>0.88309062019881024</v>
      </c>
      <c r="AD12" s="492">
        <f t="shared" si="8"/>
        <v>0.92956907389348453</v>
      </c>
      <c r="AE12" s="496">
        <f t="shared" si="9"/>
        <v>304.61200000000002</v>
      </c>
      <c r="AF12" s="497">
        <f t="shared" si="10"/>
        <v>289.38139999999999</v>
      </c>
      <c r="AG12" s="496">
        <f t="shared" si="11"/>
        <v>269</v>
      </c>
      <c r="AH12" s="497">
        <f t="shared" si="12"/>
        <v>24.115116666666665</v>
      </c>
      <c r="AI12" s="497">
        <f t="shared" si="13"/>
        <v>241.15116666666665</v>
      </c>
      <c r="AJ12" s="497">
        <f t="shared" si="14"/>
        <v>269</v>
      </c>
      <c r="AK12" s="494">
        <f t="shared" si="15"/>
        <v>1.1154828886721815</v>
      </c>
      <c r="AL12" s="427">
        <f t="shared" si="16"/>
        <v>27.848833333333346</v>
      </c>
    </row>
    <row r="13" spans="1:39" ht="15" customHeight="1" thickBot="1" x14ac:dyDescent="0.35">
      <c r="A13"/>
      <c r="B13"/>
      <c r="C13" s="64"/>
      <c r="D13" s="65"/>
      <c r="E13" s="66"/>
      <c r="F13" s="105"/>
      <c r="G13" s="19" t="s">
        <v>436</v>
      </c>
      <c r="H13" s="38"/>
      <c r="I13" s="38">
        <f>REMC!CZ10</f>
        <v>11</v>
      </c>
      <c r="J13" s="38">
        <f>REMC!DA10</f>
        <v>9</v>
      </c>
      <c r="K13" s="38">
        <f>REMC!DB10</f>
        <v>6</v>
      </c>
      <c r="L13" s="38">
        <f>REMC!DC10</f>
        <v>14</v>
      </c>
      <c r="M13" s="794">
        <f>REMC!DD10</f>
        <v>19</v>
      </c>
      <c r="N13" s="38">
        <f>REMC!DE10</f>
        <v>7</v>
      </c>
      <c r="O13" s="38">
        <f>REMC!DF10</f>
        <v>17</v>
      </c>
      <c r="P13" s="38">
        <f>REMC!DG10</f>
        <v>17</v>
      </c>
      <c r="Q13" s="38">
        <f>REMC!DH10</f>
        <v>21</v>
      </c>
      <c r="R13" s="38">
        <f>REMC!DI10</f>
        <v>16</v>
      </c>
      <c r="S13" s="38">
        <f>REMC!DJ10</f>
        <v>0</v>
      </c>
      <c r="T13" s="38">
        <f>REMC!DK10</f>
        <v>0</v>
      </c>
      <c r="U13" s="526">
        <f t="shared" si="2"/>
        <v>137</v>
      </c>
      <c r="V13" s="38">
        <f>Poblacion2024!AP10</f>
        <v>312</v>
      </c>
      <c r="W13" s="40">
        <f t="shared" si="0"/>
        <v>0.4391025641025641</v>
      </c>
      <c r="X13" s="42">
        <f t="shared" si="3"/>
        <v>0.95</v>
      </c>
      <c r="Y13" s="46">
        <f t="shared" si="4"/>
        <v>0.66499999999999992</v>
      </c>
      <c r="Z13" s="112">
        <f t="shared" si="1"/>
        <v>0.66030460767302879</v>
      </c>
      <c r="AA13" s="77">
        <f t="shared" si="5"/>
        <v>3.6250722961249281E-2</v>
      </c>
      <c r="AB13" s="144">
        <f t="shared" si="6"/>
        <v>0.95</v>
      </c>
      <c r="AC13" s="144">
        <f t="shared" si="7"/>
        <v>0.4391025641025641</v>
      </c>
      <c r="AD13" s="492">
        <f t="shared" si="8"/>
        <v>0.46221322537112014</v>
      </c>
      <c r="AE13" s="496">
        <f t="shared" si="9"/>
        <v>312</v>
      </c>
      <c r="AF13" s="497">
        <f t="shared" si="10"/>
        <v>296.39999999999998</v>
      </c>
      <c r="AG13" s="496">
        <f t="shared" si="11"/>
        <v>137</v>
      </c>
      <c r="AH13" s="497">
        <f t="shared" si="12"/>
        <v>24.7</v>
      </c>
      <c r="AI13" s="497">
        <f t="shared" si="13"/>
        <v>247</v>
      </c>
      <c r="AJ13" s="497">
        <f t="shared" si="14"/>
        <v>137</v>
      </c>
      <c r="AK13" s="494">
        <f t="shared" si="15"/>
        <v>0.55465587044534415</v>
      </c>
      <c r="AL13" s="427">
        <f t="shared" si="16"/>
        <v>-110</v>
      </c>
    </row>
    <row r="14" spans="1:39" ht="15" customHeight="1" thickBot="1" x14ac:dyDescent="0.35">
      <c r="A14"/>
      <c r="B14"/>
      <c r="C14" s="64"/>
      <c r="D14" s="65"/>
      <c r="E14" s="66"/>
      <c r="F14" s="105"/>
      <c r="G14" s="19" t="s">
        <v>437</v>
      </c>
      <c r="H14" s="38"/>
      <c r="I14" s="38">
        <f>REMC!CZ11</f>
        <v>0</v>
      </c>
      <c r="J14" s="38">
        <f>REMC!DA11</f>
        <v>0</v>
      </c>
      <c r="K14" s="38">
        <f>REMC!DB11</f>
        <v>1</v>
      </c>
      <c r="L14" s="38">
        <f>REMC!DC11</f>
        <v>1</v>
      </c>
      <c r="M14" s="38">
        <f>REMC!DD11</f>
        <v>0</v>
      </c>
      <c r="N14" s="38">
        <f>REMC!DE11</f>
        <v>0</v>
      </c>
      <c r="O14" s="38">
        <f>REMC!DF11</f>
        <v>0</v>
      </c>
      <c r="P14" s="38">
        <f>REMC!DG11</f>
        <v>0</v>
      </c>
      <c r="Q14" s="38">
        <f>REMC!DH11</f>
        <v>0</v>
      </c>
      <c r="R14" s="38">
        <f>REMC!DI11</f>
        <v>25</v>
      </c>
      <c r="S14" s="38">
        <f>REMC!DJ11</f>
        <v>0</v>
      </c>
      <c r="T14" s="38">
        <f>REMC!DK11</f>
        <v>0</v>
      </c>
      <c r="U14" s="526">
        <f t="shared" si="2"/>
        <v>27</v>
      </c>
      <c r="V14" s="38">
        <f>Poblacion2024!AP11</f>
        <v>4.2379999999999995</v>
      </c>
      <c r="W14" s="40">
        <f t="shared" si="0"/>
        <v>6.3709296838131202</v>
      </c>
      <c r="X14" s="42">
        <f t="shared" si="3"/>
        <v>0.95</v>
      </c>
      <c r="Y14" s="46">
        <f t="shared" si="4"/>
        <v>0.66499999999999992</v>
      </c>
      <c r="Z14" s="112">
        <f t="shared" si="1"/>
        <v>1</v>
      </c>
      <c r="AA14" s="77">
        <f t="shared" si="5"/>
        <v>5.4900000000000004E-2</v>
      </c>
      <c r="AB14" s="144">
        <f t="shared" si="6"/>
        <v>0.95</v>
      </c>
      <c r="AC14" s="144">
        <f t="shared" si="7"/>
        <v>6.3709296838131202</v>
      </c>
      <c r="AD14" s="492">
        <f t="shared" si="8"/>
        <v>6.706241772434864</v>
      </c>
      <c r="AE14" s="496">
        <f t="shared" si="9"/>
        <v>4.2379999999999995</v>
      </c>
      <c r="AF14" s="497">
        <f t="shared" si="10"/>
        <v>4.0260999999999996</v>
      </c>
      <c r="AG14" s="496">
        <f t="shared" si="11"/>
        <v>27</v>
      </c>
      <c r="AH14" s="497">
        <f t="shared" si="12"/>
        <v>0.3355083333333333</v>
      </c>
      <c r="AI14" s="497">
        <f t="shared" si="13"/>
        <v>3.355083333333333</v>
      </c>
      <c r="AJ14" s="497">
        <f t="shared" si="14"/>
        <v>27</v>
      </c>
      <c r="AK14" s="494">
        <f t="shared" si="15"/>
        <v>8.0474901269218364</v>
      </c>
      <c r="AL14" s="427">
        <f t="shared" si="16"/>
        <v>23.644916666666667</v>
      </c>
    </row>
    <row r="15" spans="1:39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52"/>
      <c r="I15" s="52">
        <f>REMC!CZ12</f>
        <v>6</v>
      </c>
      <c r="J15" s="52">
        <f>REMC!DA12</f>
        <v>6</v>
      </c>
      <c r="K15" s="52">
        <f>REMC!DB12</f>
        <v>6</v>
      </c>
      <c r="L15" s="52">
        <f>REMC!DC12</f>
        <v>1</v>
      </c>
      <c r="M15" s="52">
        <f>REMC!DD12</f>
        <v>7</v>
      </c>
      <c r="N15" s="52">
        <f>REMC!DE12</f>
        <v>12</v>
      </c>
      <c r="O15" s="52">
        <f>REMC!DF12</f>
        <v>7</v>
      </c>
      <c r="P15" s="52">
        <f>REMC!DG12</f>
        <v>13</v>
      </c>
      <c r="Q15" s="52">
        <f>REMC!DH12</f>
        <v>5</v>
      </c>
      <c r="R15" s="52">
        <f>REMC!DI12</f>
        <v>8</v>
      </c>
      <c r="S15" s="52">
        <f>REMC!DJ12</f>
        <v>0</v>
      </c>
      <c r="T15" s="52">
        <f>REMC!DK12</f>
        <v>0</v>
      </c>
      <c r="U15" s="565">
        <f t="shared" si="2"/>
        <v>71</v>
      </c>
      <c r="V15" s="52">
        <f>Poblacion2024!AP12</f>
        <v>80.388000000000005</v>
      </c>
      <c r="W15" s="54">
        <f t="shared" si="0"/>
        <v>0.88321640045777972</v>
      </c>
      <c r="X15" s="55">
        <f t="shared" si="3"/>
        <v>0.95</v>
      </c>
      <c r="Y15" s="746">
        <f t="shared" si="4"/>
        <v>0.66499999999999992</v>
      </c>
      <c r="Z15" s="115">
        <f t="shared" si="1"/>
        <v>1</v>
      </c>
      <c r="AA15" s="77">
        <f t="shared" si="5"/>
        <v>5.4900000000000004E-2</v>
      </c>
      <c r="AB15" s="539">
        <f t="shared" si="6"/>
        <v>0.95</v>
      </c>
      <c r="AC15" s="539">
        <f t="shared" si="7"/>
        <v>0.88321640045777972</v>
      </c>
      <c r="AD15" s="568">
        <f t="shared" si="8"/>
        <v>0.92970147416608395</v>
      </c>
      <c r="AE15" s="496">
        <f t="shared" si="9"/>
        <v>80.388000000000005</v>
      </c>
      <c r="AF15" s="497">
        <f t="shared" si="10"/>
        <v>76.368600000000001</v>
      </c>
      <c r="AG15" s="496">
        <f t="shared" si="11"/>
        <v>71</v>
      </c>
      <c r="AH15" s="497">
        <f t="shared" si="12"/>
        <v>6.3640499999999998</v>
      </c>
      <c r="AI15" s="497">
        <f t="shared" si="13"/>
        <v>63.640499999999996</v>
      </c>
      <c r="AJ15" s="497">
        <f t="shared" si="14"/>
        <v>71</v>
      </c>
      <c r="AK15" s="571">
        <f t="shared" si="15"/>
        <v>1.1156417689993008</v>
      </c>
      <c r="AL15" s="427">
        <f t="shared" si="16"/>
        <v>7.3595000000000041</v>
      </c>
    </row>
    <row r="16" spans="1:39" ht="15" customHeight="1" thickBot="1" x14ac:dyDescent="0.35">
      <c r="A16"/>
      <c r="B16"/>
      <c r="C16" s="64"/>
      <c r="D16" s="65"/>
      <c r="E16" s="66"/>
      <c r="F16" s="105"/>
      <c r="G16" s="538" t="s">
        <v>15</v>
      </c>
      <c r="H16" s="30"/>
      <c r="I16" s="30">
        <f>SUM(I9:I15)</f>
        <v>128</v>
      </c>
      <c r="J16" s="30">
        <f t="shared" ref="J16:T16" si="17">SUM(J9:J15)</f>
        <v>105</v>
      </c>
      <c r="K16" s="30">
        <f t="shared" si="17"/>
        <v>131</v>
      </c>
      <c r="L16" s="30">
        <f t="shared" si="17"/>
        <v>133</v>
      </c>
      <c r="M16" s="30">
        <f t="shared" si="17"/>
        <v>107</v>
      </c>
      <c r="N16" s="30">
        <f t="shared" si="17"/>
        <v>99</v>
      </c>
      <c r="O16" s="30">
        <f t="shared" si="17"/>
        <v>123</v>
      </c>
      <c r="P16" s="30">
        <f t="shared" si="17"/>
        <v>107</v>
      </c>
      <c r="Q16" s="30">
        <f t="shared" si="17"/>
        <v>109</v>
      </c>
      <c r="R16" s="30">
        <f t="shared" si="17"/>
        <v>163</v>
      </c>
      <c r="S16" s="30">
        <f t="shared" si="17"/>
        <v>0</v>
      </c>
      <c r="T16" s="30">
        <f t="shared" si="17"/>
        <v>0</v>
      </c>
      <c r="U16" s="551">
        <f t="shared" si="2"/>
        <v>1205</v>
      </c>
      <c r="V16" s="30">
        <f>SUM(V9:V15)</f>
        <v>1625</v>
      </c>
      <c r="W16" s="475">
        <f>IF(V16=0,0,+U16/V16)</f>
        <v>0.74153846153846159</v>
      </c>
      <c r="X16" s="672">
        <f t="shared" si="3"/>
        <v>0.95</v>
      </c>
      <c r="Y16" s="506">
        <f t="shared" si="4"/>
        <v>0.66499999999999992</v>
      </c>
      <c r="Z16" s="507">
        <f t="shared" si="1"/>
        <v>1</v>
      </c>
      <c r="AA16" s="508">
        <f t="shared" si="5"/>
        <v>5.4900000000000004E-2</v>
      </c>
      <c r="AB16" s="566">
        <f t="shared" si="6"/>
        <v>0.95</v>
      </c>
      <c r="AC16" s="542">
        <f t="shared" si="7"/>
        <v>0.74153846153846159</v>
      </c>
      <c r="AD16" s="569">
        <f t="shared" si="8"/>
        <v>0.78056680161943326</v>
      </c>
      <c r="AE16" s="496">
        <f t="shared" si="9"/>
        <v>1625</v>
      </c>
      <c r="AF16" s="497">
        <f t="shared" si="10"/>
        <v>1543.75</v>
      </c>
      <c r="AG16" s="496">
        <f t="shared" si="11"/>
        <v>1205</v>
      </c>
      <c r="AH16" s="497">
        <f t="shared" si="12"/>
        <v>128.64583333333334</v>
      </c>
      <c r="AI16" s="497">
        <f t="shared" si="13"/>
        <v>1286.4583333333335</v>
      </c>
      <c r="AJ16" s="497">
        <f t="shared" si="14"/>
        <v>1205</v>
      </c>
      <c r="AK16" s="572">
        <f t="shared" si="15"/>
        <v>0.93668016194331971</v>
      </c>
      <c r="AL16" s="427">
        <f t="shared" si="16"/>
        <v>-81.458333333333485</v>
      </c>
    </row>
    <row r="20" spans="7:7" x14ac:dyDescent="0.25">
      <c r="G20" s="795" t="s">
        <v>530</v>
      </c>
    </row>
  </sheetData>
  <autoFilter ref="G4:AA16" xr:uid="{00000000-0001-0000-13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1FEB-92E1-41BA-B865-7D8A3FB1E4DA}">
  <sheetPr codeName="Hoja23">
    <tabColor rgb="FF00B050"/>
  </sheetPr>
  <dimension ref="A1:AA19"/>
  <sheetViews>
    <sheetView topLeftCell="B1" zoomScale="85" zoomScaleNormal="85" workbookViewId="0">
      <selection activeCell="I21" sqref="I2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4.28515625" style="5" customWidth="1"/>
    <col min="8" max="10" width="26.42578125" style="5" customWidth="1"/>
    <col min="11" max="11" width="18.5703125" style="5" customWidth="1"/>
    <col min="12" max="12" width="14.85546875" style="6" customWidth="1"/>
    <col min="13" max="13" width="12.5703125" style="5" customWidth="1"/>
    <col min="14" max="14" width="14.140625" style="5" customWidth="1"/>
    <col min="15" max="15" width="16.42578125" style="5" customWidth="1"/>
    <col min="16" max="16" width="15" style="57" customWidth="1"/>
    <col min="17" max="17" width="8" style="57" customWidth="1"/>
    <col min="18" max="18" width="10" style="57" bestFit="1" customWidth="1"/>
    <col min="19" max="21" width="11.42578125" style="5"/>
    <col min="22" max="22" width="10.42578125" style="57" customWidth="1"/>
    <col min="23" max="16384" width="11.42578125" style="5"/>
  </cols>
  <sheetData>
    <row r="1" spans="1:27" s="2" customFormat="1" ht="44.25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56"/>
      <c r="R1" s="56"/>
      <c r="V1" s="56"/>
    </row>
    <row r="2" spans="1:27" s="2" customFormat="1" ht="23.25" customHeight="1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5" t="str">
        <f>+NOMBRE!B7</f>
        <v>ENERO - OCTUBRE 2024</v>
      </c>
      <c r="N2" s="905"/>
      <c r="O2" s="905"/>
      <c r="P2" s="905"/>
      <c r="Q2" s="56"/>
      <c r="R2" s="56"/>
      <c r="V2" s="56"/>
    </row>
    <row r="3" spans="1:27" ht="27.75" customHeight="1" thickBot="1" x14ac:dyDescent="0.3">
      <c r="Q3" s="5"/>
      <c r="R3" s="5"/>
      <c r="T3" s="6"/>
      <c r="V3" s="5"/>
      <c r="W3" s="87" t="s">
        <v>45</v>
      </c>
      <c r="X3" s="88">
        <v>12</v>
      </c>
      <c r="Y3" s="6"/>
      <c r="Z3" s="6"/>
    </row>
    <row r="4" spans="1:27" ht="15" customHeight="1" x14ac:dyDescent="0.25">
      <c r="G4" s="58"/>
      <c r="H4" s="906" t="s">
        <v>511</v>
      </c>
      <c r="I4" s="924"/>
      <c r="J4" s="924"/>
      <c r="K4" s="907"/>
      <c r="L4" s="907"/>
      <c r="M4" s="907"/>
      <c r="N4" s="907"/>
      <c r="O4" s="907"/>
      <c r="P4" s="908"/>
      <c r="Q4" s="5"/>
      <c r="R4" s="5"/>
      <c r="T4" s="6"/>
      <c r="V4" s="5"/>
      <c r="W4" s="87" t="s">
        <v>46</v>
      </c>
      <c r="X4" s="88">
        <f>meta3!AB2</f>
        <v>10</v>
      </c>
      <c r="Y4" s="6"/>
    </row>
    <row r="5" spans="1:27" ht="23.25" customHeight="1" thickBot="1" x14ac:dyDescent="0.3">
      <c r="G5" s="58"/>
      <c r="H5" s="909"/>
      <c r="I5" s="910"/>
      <c r="J5" s="910"/>
      <c r="K5" s="910"/>
      <c r="L5" s="910"/>
      <c r="M5" s="910"/>
      <c r="N5" s="910"/>
      <c r="O5" s="910"/>
      <c r="P5" s="911"/>
      <c r="Q5" s="89" t="s">
        <v>47</v>
      </c>
      <c r="R5" s="89" t="s">
        <v>48</v>
      </c>
      <c r="S5" s="89" t="s">
        <v>49</v>
      </c>
      <c r="T5" s="89" t="s">
        <v>50</v>
      </c>
      <c r="U5" s="89" t="s">
        <v>51</v>
      </c>
      <c r="V5" s="89" t="s">
        <v>52</v>
      </c>
      <c r="W5" s="89" t="s">
        <v>45</v>
      </c>
      <c r="X5" s="89" t="s">
        <v>53</v>
      </c>
      <c r="Y5" s="89" t="s">
        <v>54</v>
      </c>
      <c r="Z5" s="89" t="s">
        <v>55</v>
      </c>
      <c r="AA5" s="89" t="s">
        <v>56</v>
      </c>
    </row>
    <row r="6" spans="1:27" ht="47.25" customHeight="1" thickBot="1" x14ac:dyDescent="0.3">
      <c r="G6" s="58"/>
      <c r="H6" s="7" t="s">
        <v>4</v>
      </c>
      <c r="I6" s="776" t="s">
        <v>4</v>
      </c>
      <c r="J6" s="807" t="s">
        <v>4</v>
      </c>
      <c r="K6" s="8" t="s">
        <v>5</v>
      </c>
      <c r="L6" s="912" t="s">
        <v>6</v>
      </c>
      <c r="M6" s="914">
        <f>+NOMBRE!$B$9</f>
        <v>2024</v>
      </c>
      <c r="N6" s="915"/>
      <c r="O6" s="916" t="s">
        <v>7</v>
      </c>
      <c r="P6" s="917"/>
      <c r="Q6" s="90" t="s">
        <v>57</v>
      </c>
      <c r="R6" s="90" t="s">
        <v>58</v>
      </c>
      <c r="S6" s="90" t="s">
        <v>59</v>
      </c>
      <c r="T6" s="91" t="s">
        <v>60</v>
      </c>
      <c r="U6" s="91" t="s">
        <v>61</v>
      </c>
      <c r="V6" s="91" t="s">
        <v>62</v>
      </c>
      <c r="W6" s="91" t="s">
        <v>63</v>
      </c>
      <c r="X6" s="91" t="s">
        <v>64</v>
      </c>
      <c r="Y6" s="91" t="s">
        <v>65</v>
      </c>
      <c r="Z6" s="92" t="s">
        <v>66</v>
      </c>
      <c r="AA6" s="92" t="s">
        <v>67</v>
      </c>
    </row>
    <row r="7" spans="1:27" ht="71.25" customHeight="1" thickBot="1" x14ac:dyDescent="0.3">
      <c r="G7" s="603" t="s">
        <v>431</v>
      </c>
      <c r="H7" s="218" t="s">
        <v>135</v>
      </c>
      <c r="I7" s="218" t="s">
        <v>135</v>
      </c>
      <c r="J7" s="218" t="s">
        <v>135</v>
      </c>
      <c r="K7" s="11" t="s">
        <v>136</v>
      </c>
      <c r="L7" s="913"/>
      <c r="M7" s="12" t="s">
        <v>11</v>
      </c>
      <c r="N7" s="13" t="s">
        <v>12</v>
      </c>
      <c r="O7" s="14" t="s">
        <v>13</v>
      </c>
      <c r="P7" s="14" t="s">
        <v>14</v>
      </c>
      <c r="Q7" s="93" t="s">
        <v>68</v>
      </c>
      <c r="R7" s="93" t="s">
        <v>69</v>
      </c>
      <c r="S7" s="93" t="s">
        <v>70</v>
      </c>
      <c r="T7" s="93" t="s">
        <v>71</v>
      </c>
      <c r="U7" s="93" t="s">
        <v>72</v>
      </c>
      <c r="V7" s="93" t="s">
        <v>73</v>
      </c>
      <c r="W7" s="93" t="s">
        <v>74</v>
      </c>
      <c r="X7" s="93" t="s">
        <v>75</v>
      </c>
      <c r="Y7" s="93" t="s">
        <v>76</v>
      </c>
      <c r="Z7" s="93" t="s">
        <v>77</v>
      </c>
      <c r="AA7" s="93" t="s">
        <v>78</v>
      </c>
    </row>
    <row r="8" spans="1:27" ht="36" customHeight="1" thickBot="1" x14ac:dyDescent="0.3">
      <c r="G8" s="664"/>
      <c r="H8" s="669" t="s">
        <v>519</v>
      </c>
      <c r="I8" s="669" t="s">
        <v>520</v>
      </c>
      <c r="J8" s="669" t="s">
        <v>537</v>
      </c>
      <c r="K8" s="437"/>
      <c r="L8" s="665"/>
      <c r="M8" s="788">
        <f>indicadores!E44</f>
        <v>0.65900000000000003</v>
      </c>
      <c r="N8" s="490">
        <f>indicadores!$D$54</f>
        <v>0.7</v>
      </c>
      <c r="O8" s="439"/>
      <c r="P8" s="757">
        <v>4.17</v>
      </c>
      <c r="Q8" s="668"/>
      <c r="R8" s="668"/>
      <c r="S8" s="668"/>
      <c r="T8" s="668"/>
      <c r="U8" s="668"/>
      <c r="V8" s="668"/>
      <c r="W8" s="668"/>
      <c r="X8" s="668"/>
      <c r="Y8" s="668"/>
      <c r="Z8" s="668"/>
      <c r="AA8" s="668"/>
    </row>
    <row r="9" spans="1:27" ht="15" customHeight="1" thickBot="1" x14ac:dyDescent="0.35">
      <c r="A9" s="212"/>
      <c r="B9" s="212"/>
      <c r="C9" s="64"/>
      <c r="D9" s="65"/>
      <c r="E9" s="66"/>
      <c r="F9" s="105"/>
      <c r="G9" s="19" t="s">
        <v>432</v>
      </c>
      <c r="H9" s="34">
        <f>REMP!N6</f>
        <v>655</v>
      </c>
      <c r="I9" s="34">
        <f>REMP!W6</f>
        <v>887</v>
      </c>
      <c r="J9" s="34">
        <f>REMP!AF6</f>
        <v>841</v>
      </c>
      <c r="K9" s="34">
        <f>Poblacion2024!AR6</f>
        <v>675.10799999999995</v>
      </c>
      <c r="L9" s="219">
        <f>IF(K9=0,0,+J9/K9)</f>
        <v>1.245726609668379</v>
      </c>
      <c r="M9" s="46">
        <f>$M$8</f>
        <v>0.65900000000000003</v>
      </c>
      <c r="N9" s="46">
        <f>+M9*$N$8</f>
        <v>0.46129999999999999</v>
      </c>
      <c r="O9" s="109">
        <f t="shared" ref="O9:O16" si="0">IF(+L9/N9&gt;1,1,+L9/N9)</f>
        <v>1</v>
      </c>
      <c r="P9" s="17">
        <f>+O9*$P$8/100</f>
        <v>4.1700000000000001E-2</v>
      </c>
      <c r="Q9" s="144">
        <f>M9</f>
        <v>0.65900000000000003</v>
      </c>
      <c r="R9" s="144">
        <f>(V9/T9)</f>
        <v>1.245726609668379</v>
      </c>
      <c r="S9" s="145">
        <f>R9/Q9</f>
        <v>1.8903286944891942</v>
      </c>
      <c r="T9" s="96">
        <f>K9</f>
        <v>675.10799999999995</v>
      </c>
      <c r="U9" s="97">
        <f>T9*Q9</f>
        <v>444.89617199999998</v>
      </c>
      <c r="V9" s="96">
        <f>J9</f>
        <v>841</v>
      </c>
      <c r="W9" s="97">
        <f>U9/$X$3</f>
        <v>37.074680999999998</v>
      </c>
      <c r="X9" s="97">
        <f>W9*$X$4</f>
        <v>370.74680999999998</v>
      </c>
      <c r="Y9" s="97">
        <f>J9</f>
        <v>841</v>
      </c>
      <c r="Z9" s="98">
        <f>Y9/X9</f>
        <v>2.2683944333870332</v>
      </c>
      <c r="AA9" s="427">
        <f>(X9-Y9)*-1</f>
        <v>470.25319000000002</v>
      </c>
    </row>
    <row r="10" spans="1:27" ht="15" customHeight="1" thickBot="1" x14ac:dyDescent="0.35">
      <c r="A10" s="212"/>
      <c r="B10" s="212"/>
      <c r="C10" s="64"/>
      <c r="D10" s="65"/>
      <c r="E10" s="66"/>
      <c r="F10" s="105"/>
      <c r="G10" s="19" t="s">
        <v>433</v>
      </c>
      <c r="H10" s="39">
        <f>REMP!N7</f>
        <v>603</v>
      </c>
      <c r="I10" s="39">
        <f>REMP!W7</f>
        <v>672</v>
      </c>
      <c r="J10" s="39">
        <f>REMP!AF7</f>
        <v>641</v>
      </c>
      <c r="K10" s="39">
        <f>Poblacion2024!AR7</f>
        <v>362</v>
      </c>
      <c r="L10" s="219">
        <f t="shared" ref="L10:L15" si="1">IF(K10=0,0,+J10/K10)</f>
        <v>1.770718232044199</v>
      </c>
      <c r="M10" s="42">
        <f t="shared" ref="M10:M16" si="2">$M$8</f>
        <v>0.65900000000000003</v>
      </c>
      <c r="N10" s="42">
        <f t="shared" ref="N10:N16" si="3">+M10*$N$8</f>
        <v>0.46129999999999999</v>
      </c>
      <c r="O10" s="112">
        <f t="shared" si="0"/>
        <v>1</v>
      </c>
      <c r="P10" s="17">
        <f t="shared" ref="P10:P16" si="4">+O10*$P$8/100</f>
        <v>4.1700000000000001E-2</v>
      </c>
      <c r="Q10" s="144">
        <f t="shared" ref="Q10:Q16" si="5">M10</f>
        <v>0.65900000000000003</v>
      </c>
      <c r="R10" s="144">
        <f t="shared" ref="R10:R16" si="6">(V10/T10)</f>
        <v>1.770718232044199</v>
      </c>
      <c r="S10" s="145">
        <f t="shared" ref="S10:S16" si="7">R10/Q10</f>
        <v>2.6869775903553852</v>
      </c>
      <c r="T10" s="96">
        <f t="shared" ref="T10:T16" si="8">K10</f>
        <v>362</v>
      </c>
      <c r="U10" s="97">
        <f t="shared" ref="U10:U16" si="9">T10*Q10</f>
        <v>238.55800000000002</v>
      </c>
      <c r="V10" s="96">
        <f t="shared" ref="V10:V15" si="10">J10</f>
        <v>641</v>
      </c>
      <c r="W10" s="97">
        <f t="shared" ref="W10:W15" si="11">U10/$X$3</f>
        <v>19.879833333333334</v>
      </c>
      <c r="X10" s="97">
        <f t="shared" ref="X10:X16" si="12">W10*$X$4</f>
        <v>198.79833333333335</v>
      </c>
      <c r="Y10" s="97">
        <f t="shared" ref="Y10:Y15" si="13">J10</f>
        <v>641</v>
      </c>
      <c r="Z10" s="98">
        <f t="shared" ref="Z10:Z16" si="14">Y10/X10</f>
        <v>3.224373108426462</v>
      </c>
      <c r="AA10" s="427">
        <f t="shared" ref="AA10:AA16" si="15">(X10-Y10)*-1</f>
        <v>442.20166666666665</v>
      </c>
    </row>
    <row r="11" spans="1:27" ht="15" customHeight="1" thickBot="1" x14ac:dyDescent="0.35">
      <c r="A11" s="212"/>
      <c r="B11" s="212"/>
      <c r="C11" s="64"/>
      <c r="D11" s="65"/>
      <c r="E11" s="66"/>
      <c r="F11" s="105"/>
      <c r="G11" s="19" t="s">
        <v>434</v>
      </c>
      <c r="H11" s="39">
        <f>REMP!N8</f>
        <v>362</v>
      </c>
      <c r="I11" s="39">
        <f>REMP!W8</f>
        <v>449</v>
      </c>
      <c r="J11" s="39">
        <f>REMP!AF8</f>
        <v>545</v>
      </c>
      <c r="K11" s="39">
        <f>Poblacion2024!AR8</f>
        <v>938</v>
      </c>
      <c r="L11" s="219">
        <f t="shared" si="1"/>
        <v>0.58102345415778256</v>
      </c>
      <c r="M11" s="42">
        <f t="shared" si="2"/>
        <v>0.65900000000000003</v>
      </c>
      <c r="N11" s="42">
        <f t="shared" si="3"/>
        <v>0.46129999999999999</v>
      </c>
      <c r="O11" s="112">
        <f t="shared" si="0"/>
        <v>1</v>
      </c>
      <c r="P11" s="17">
        <f t="shared" si="4"/>
        <v>4.1700000000000001E-2</v>
      </c>
      <c r="Q11" s="144">
        <f t="shared" si="5"/>
        <v>0.65900000000000003</v>
      </c>
      <c r="R11" s="144">
        <f t="shared" si="6"/>
        <v>0.58102345415778256</v>
      </c>
      <c r="S11" s="145">
        <f t="shared" si="7"/>
        <v>0.88167443726522388</v>
      </c>
      <c r="T11" s="96">
        <f t="shared" si="8"/>
        <v>938</v>
      </c>
      <c r="U11" s="97">
        <f t="shared" si="9"/>
        <v>618.14200000000005</v>
      </c>
      <c r="V11" s="96">
        <f t="shared" si="10"/>
        <v>545</v>
      </c>
      <c r="W11" s="97">
        <f t="shared" si="11"/>
        <v>51.511833333333335</v>
      </c>
      <c r="X11" s="97">
        <f t="shared" si="12"/>
        <v>515.11833333333334</v>
      </c>
      <c r="Y11" s="97">
        <f t="shared" si="13"/>
        <v>545</v>
      </c>
      <c r="Z11" s="98">
        <f t="shared" si="14"/>
        <v>1.0580093247182687</v>
      </c>
      <c r="AA11" s="427">
        <f t="shared" si="15"/>
        <v>29.881666666666661</v>
      </c>
    </row>
    <row r="12" spans="1:27" ht="15" customHeight="1" thickBot="1" x14ac:dyDescent="0.35">
      <c r="A12" s="212"/>
      <c r="B12" s="212"/>
      <c r="C12" s="64"/>
      <c r="D12" s="65"/>
      <c r="E12" s="66"/>
      <c r="F12" s="105"/>
      <c r="G12" s="19" t="s">
        <v>435</v>
      </c>
      <c r="H12" s="39">
        <f>REMP!N9</f>
        <v>498</v>
      </c>
      <c r="I12" s="39">
        <f>REMP!W9</f>
        <v>547</v>
      </c>
      <c r="J12" s="39">
        <f>REMP!AF9</f>
        <v>536</v>
      </c>
      <c r="K12" s="39">
        <f>Poblacion2024!AR9</f>
        <v>669.35519999999997</v>
      </c>
      <c r="L12" s="219">
        <f t="shared" si="1"/>
        <v>0.8007706521141541</v>
      </c>
      <c r="M12" s="42">
        <f t="shared" si="2"/>
        <v>0.65900000000000003</v>
      </c>
      <c r="N12" s="42">
        <f t="shared" si="3"/>
        <v>0.46129999999999999</v>
      </c>
      <c r="O12" s="112">
        <f t="shared" si="0"/>
        <v>1</v>
      </c>
      <c r="P12" s="17">
        <f t="shared" si="4"/>
        <v>4.1700000000000001E-2</v>
      </c>
      <c r="Q12" s="144">
        <f t="shared" si="5"/>
        <v>0.65900000000000003</v>
      </c>
      <c r="R12" s="144">
        <f t="shared" si="6"/>
        <v>0.8007706521141541</v>
      </c>
      <c r="S12" s="145">
        <f t="shared" si="7"/>
        <v>1.215129972859111</v>
      </c>
      <c r="T12" s="96">
        <f t="shared" si="8"/>
        <v>669.35519999999997</v>
      </c>
      <c r="U12" s="97">
        <f t="shared" si="9"/>
        <v>441.10507680000001</v>
      </c>
      <c r="V12" s="96">
        <f t="shared" si="10"/>
        <v>536</v>
      </c>
      <c r="W12" s="97">
        <f t="shared" si="11"/>
        <v>36.758756400000003</v>
      </c>
      <c r="X12" s="97">
        <f t="shared" si="12"/>
        <v>367.58756400000004</v>
      </c>
      <c r="Y12" s="97">
        <f t="shared" si="13"/>
        <v>536</v>
      </c>
      <c r="Z12" s="98">
        <f t="shared" si="14"/>
        <v>1.4581559674309328</v>
      </c>
      <c r="AA12" s="427">
        <f t="shared" si="15"/>
        <v>168.41243599999996</v>
      </c>
    </row>
    <row r="13" spans="1:27" ht="15" customHeight="1" thickBot="1" x14ac:dyDescent="0.35">
      <c r="A13" s="212"/>
      <c r="B13" s="212"/>
      <c r="C13" s="64"/>
      <c r="D13" s="65"/>
      <c r="E13" s="66"/>
      <c r="F13" s="105"/>
      <c r="G13" s="19" t="s">
        <v>436</v>
      </c>
      <c r="H13" s="39">
        <f>REMP!N10</f>
        <v>508</v>
      </c>
      <c r="I13" s="39">
        <f>REMP!W10</f>
        <v>559</v>
      </c>
      <c r="J13" s="39">
        <f>REMP!AF10</f>
        <v>533</v>
      </c>
      <c r="K13" s="39">
        <f>Poblacion2024!AR10</f>
        <v>917</v>
      </c>
      <c r="L13" s="219">
        <f t="shared" si="1"/>
        <v>0.58124318429661936</v>
      </c>
      <c r="M13" s="42">
        <f t="shared" si="2"/>
        <v>0.65900000000000003</v>
      </c>
      <c r="N13" s="42">
        <f t="shared" si="3"/>
        <v>0.46129999999999999</v>
      </c>
      <c r="O13" s="112">
        <f t="shared" si="0"/>
        <v>1</v>
      </c>
      <c r="P13" s="17">
        <f t="shared" si="4"/>
        <v>4.1700000000000001E-2</v>
      </c>
      <c r="Q13" s="144">
        <f t="shared" si="5"/>
        <v>0.65900000000000003</v>
      </c>
      <c r="R13" s="144">
        <f t="shared" si="6"/>
        <v>0.58124318429661936</v>
      </c>
      <c r="S13" s="145">
        <f t="shared" si="7"/>
        <v>0.8820078669144451</v>
      </c>
      <c r="T13" s="96">
        <f t="shared" si="8"/>
        <v>917</v>
      </c>
      <c r="U13" s="97">
        <f t="shared" si="9"/>
        <v>604.303</v>
      </c>
      <c r="V13" s="96">
        <f t="shared" si="10"/>
        <v>533</v>
      </c>
      <c r="W13" s="97">
        <f t="shared" si="11"/>
        <v>50.358583333333335</v>
      </c>
      <c r="X13" s="97">
        <f t="shared" si="12"/>
        <v>503.58583333333337</v>
      </c>
      <c r="Y13" s="97">
        <f t="shared" si="13"/>
        <v>533</v>
      </c>
      <c r="Z13" s="98">
        <f t="shared" si="14"/>
        <v>1.0584094402973343</v>
      </c>
      <c r="AA13" s="427">
        <f t="shared" si="15"/>
        <v>29.414166666666631</v>
      </c>
    </row>
    <row r="14" spans="1:27" ht="15" customHeight="1" thickBot="1" x14ac:dyDescent="0.35">
      <c r="A14" s="212"/>
      <c r="B14" s="212"/>
      <c r="C14" s="64"/>
      <c r="D14" s="65"/>
      <c r="E14" s="66"/>
      <c r="F14" s="105"/>
      <c r="G14" s="19" t="s">
        <v>437</v>
      </c>
      <c r="H14" s="39">
        <f>REMP!N11</f>
        <v>9</v>
      </c>
      <c r="I14" s="39">
        <f>REMP!W11</f>
        <v>8</v>
      </c>
      <c r="J14" s="39">
        <f>REMP!AF11</f>
        <v>8</v>
      </c>
      <c r="K14" s="39">
        <f>Poblacion2024!AR11</f>
        <v>8.8919999999999995</v>
      </c>
      <c r="L14" s="219">
        <f t="shared" si="1"/>
        <v>0.89968511021142605</v>
      </c>
      <c r="M14" s="42">
        <f t="shared" si="2"/>
        <v>0.65900000000000003</v>
      </c>
      <c r="N14" s="42">
        <f t="shared" si="3"/>
        <v>0.46129999999999999</v>
      </c>
      <c r="O14" s="112">
        <f t="shared" si="0"/>
        <v>1</v>
      </c>
      <c r="P14" s="17">
        <f t="shared" si="4"/>
        <v>4.1700000000000001E-2</v>
      </c>
      <c r="Q14" s="144">
        <f t="shared" si="5"/>
        <v>0.65900000000000003</v>
      </c>
      <c r="R14" s="144">
        <f t="shared" si="6"/>
        <v>0.89968511021142605</v>
      </c>
      <c r="S14" s="145">
        <f t="shared" si="7"/>
        <v>1.3652277848428316</v>
      </c>
      <c r="T14" s="96">
        <f t="shared" si="8"/>
        <v>8.8919999999999995</v>
      </c>
      <c r="U14" s="97">
        <f t="shared" si="9"/>
        <v>5.8598280000000003</v>
      </c>
      <c r="V14" s="96">
        <f t="shared" si="10"/>
        <v>8</v>
      </c>
      <c r="W14" s="97">
        <f t="shared" si="11"/>
        <v>0.488319</v>
      </c>
      <c r="X14" s="97">
        <f t="shared" si="12"/>
        <v>4.8831899999999999</v>
      </c>
      <c r="Y14" s="97">
        <f t="shared" si="13"/>
        <v>8</v>
      </c>
      <c r="Z14" s="98">
        <f t="shared" si="14"/>
        <v>1.6382733418113979</v>
      </c>
      <c r="AA14" s="427">
        <f t="shared" si="15"/>
        <v>3.1168100000000001</v>
      </c>
    </row>
    <row r="15" spans="1:27" ht="15" customHeight="1" thickBot="1" x14ac:dyDescent="0.35">
      <c r="A15" s="212"/>
      <c r="B15" s="212"/>
      <c r="C15" s="64"/>
      <c r="D15" s="65"/>
      <c r="E15" s="66"/>
      <c r="F15" s="105"/>
      <c r="G15" s="28" t="s">
        <v>438</v>
      </c>
      <c r="H15" s="39">
        <f>REMP!N12</f>
        <v>131</v>
      </c>
      <c r="I15" s="39">
        <f>REMP!W12</f>
        <v>171</v>
      </c>
      <c r="J15" s="39">
        <f>REMP!AF12</f>
        <v>172</v>
      </c>
      <c r="K15" s="53">
        <f>Poblacion2024!AR12</f>
        <v>176.6448</v>
      </c>
      <c r="L15" s="219">
        <f t="shared" si="1"/>
        <v>0.97370542467143106</v>
      </c>
      <c r="M15" s="55">
        <f t="shared" si="2"/>
        <v>0.65900000000000003</v>
      </c>
      <c r="N15" s="55">
        <f t="shared" si="3"/>
        <v>0.46129999999999999</v>
      </c>
      <c r="O15" s="115">
        <f t="shared" si="0"/>
        <v>1</v>
      </c>
      <c r="P15" s="17">
        <f t="shared" si="4"/>
        <v>4.1700000000000001E-2</v>
      </c>
      <c r="Q15" s="539">
        <f t="shared" si="5"/>
        <v>0.65900000000000003</v>
      </c>
      <c r="R15" s="539">
        <f t="shared" si="6"/>
        <v>0.97370542467143106</v>
      </c>
      <c r="S15" s="540">
        <f t="shared" si="7"/>
        <v>1.4775499615651457</v>
      </c>
      <c r="T15" s="96">
        <f t="shared" si="8"/>
        <v>176.6448</v>
      </c>
      <c r="U15" s="97">
        <f t="shared" si="9"/>
        <v>116.4089232</v>
      </c>
      <c r="V15" s="96">
        <f t="shared" si="10"/>
        <v>172</v>
      </c>
      <c r="W15" s="97">
        <f t="shared" si="11"/>
        <v>9.7007436000000009</v>
      </c>
      <c r="X15" s="97">
        <f t="shared" si="12"/>
        <v>97.007436000000013</v>
      </c>
      <c r="Y15" s="97">
        <f t="shared" si="13"/>
        <v>172</v>
      </c>
      <c r="Z15" s="541">
        <f t="shared" si="14"/>
        <v>1.7730599538781746</v>
      </c>
      <c r="AA15" s="427">
        <f t="shared" si="15"/>
        <v>74.992563999999987</v>
      </c>
    </row>
    <row r="16" spans="1:27" ht="15" customHeight="1" thickBot="1" x14ac:dyDescent="0.35">
      <c r="A16" s="212"/>
      <c r="B16" s="212"/>
      <c r="C16" s="64"/>
      <c r="D16" s="65"/>
      <c r="E16" s="66"/>
      <c r="F16" s="105"/>
      <c r="G16" s="538" t="s">
        <v>15</v>
      </c>
      <c r="H16" s="30">
        <f>SUM(H9:H15)</f>
        <v>2766</v>
      </c>
      <c r="I16" s="30">
        <f>SUM(I9:I15)</f>
        <v>3293</v>
      </c>
      <c r="J16" s="30">
        <f>SUM(J9:J15)</f>
        <v>3276</v>
      </c>
      <c r="K16" s="30">
        <f>SUM(K9:K15)</f>
        <v>3747</v>
      </c>
      <c r="L16" s="573">
        <f>IF(K16=0,0,+J16/K16)</f>
        <v>0.87429943955164136</v>
      </c>
      <c r="M16" s="506">
        <f t="shared" si="2"/>
        <v>0.65900000000000003</v>
      </c>
      <c r="N16" s="506">
        <f t="shared" si="3"/>
        <v>0.46129999999999999</v>
      </c>
      <c r="O16" s="507">
        <f t="shared" si="0"/>
        <v>1</v>
      </c>
      <c r="P16" s="508">
        <f t="shared" si="4"/>
        <v>4.1700000000000001E-2</v>
      </c>
      <c r="Q16" s="542">
        <f t="shared" si="5"/>
        <v>0.65900000000000003</v>
      </c>
      <c r="R16" s="542">
        <f t="shared" si="6"/>
        <v>0.87429943955164136</v>
      </c>
      <c r="S16" s="543">
        <f t="shared" si="7"/>
        <v>1.3267062815654649</v>
      </c>
      <c r="T16" s="544">
        <f t="shared" si="8"/>
        <v>3747</v>
      </c>
      <c r="U16" s="545">
        <f t="shared" si="9"/>
        <v>2469.2730000000001</v>
      </c>
      <c r="V16" s="544">
        <f>J16</f>
        <v>3276</v>
      </c>
      <c r="W16" s="758">
        <f>U16/$X$3</f>
        <v>205.77275</v>
      </c>
      <c r="X16" s="545">
        <f t="shared" si="12"/>
        <v>2057.7275</v>
      </c>
      <c r="Y16" s="545">
        <f>J16</f>
        <v>3276</v>
      </c>
      <c r="Z16" s="546">
        <f t="shared" si="14"/>
        <v>1.5920475378785579</v>
      </c>
      <c r="AA16" s="427">
        <f t="shared" si="15"/>
        <v>1218.2725</v>
      </c>
    </row>
    <row r="19" spans="7:7" ht="23.25" x14ac:dyDescent="0.35">
      <c r="G19" s="615"/>
    </row>
  </sheetData>
  <autoFilter ref="G4:P16" xr:uid="{00000000-0001-0000-14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7">
    <mergeCell ref="G1:P1"/>
    <mergeCell ref="G2:L2"/>
    <mergeCell ref="M2:P2"/>
    <mergeCell ref="H4:P5"/>
    <mergeCell ref="L6:L7"/>
    <mergeCell ref="M6:N6"/>
    <mergeCell ref="O6:P6"/>
  </mergeCells>
  <conditionalFormatting sqref="AA9:AA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F166-246D-400B-B0F7-95B25B60B131}">
  <sheetPr codeName="Hoja24">
    <tabColor theme="4" tint="0.39997558519241921"/>
  </sheetPr>
  <dimension ref="C1:Z15"/>
  <sheetViews>
    <sheetView zoomScale="85" zoomScaleNormal="85" zoomScalePageLayoutView="80" workbookViewId="0">
      <selection activeCell="X12" sqref="X12"/>
    </sheetView>
  </sheetViews>
  <sheetFormatPr baseColWidth="10" defaultRowHeight="15" x14ac:dyDescent="0.25"/>
  <cols>
    <col min="1" max="1" width="1.7109375" style="237" customWidth="1"/>
    <col min="2" max="2" width="2" style="237" customWidth="1"/>
    <col min="3" max="3" width="52.28515625" style="237" bestFit="1" customWidth="1"/>
    <col min="4" max="4" width="9.7109375" style="237" hidden="1" customWidth="1"/>
    <col min="5" max="5" width="11.42578125" style="237" customWidth="1"/>
    <col min="6" max="6" width="11" style="237" customWidth="1"/>
    <col min="7" max="7" width="13.42578125" style="237" customWidth="1"/>
    <col min="8" max="8" width="11" style="237" customWidth="1"/>
    <col min="9" max="9" width="10.140625" style="237" customWidth="1"/>
    <col min="10" max="13" width="11" style="237" customWidth="1"/>
    <col min="14" max="14" width="12.28515625" style="237" customWidth="1"/>
    <col min="15" max="15" width="12.140625" style="237" customWidth="1"/>
    <col min="16" max="23" width="12.42578125" style="237" customWidth="1"/>
    <col min="24" max="24" width="12.42578125" style="238" customWidth="1"/>
    <col min="25" max="25" width="15.5703125" style="237" customWidth="1"/>
    <col min="26" max="16384" width="11.42578125" style="237"/>
  </cols>
  <sheetData>
    <row r="1" spans="3:26" s="221" customFormat="1" ht="28.5" customHeight="1" thickBot="1" x14ac:dyDescent="0.5">
      <c r="C1" s="1006" t="s">
        <v>0</v>
      </c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220"/>
      <c r="Q1" s="220" t="str">
        <f>+NOMBRE!B7</f>
        <v>ENERO - OCTUBRE 2024</v>
      </c>
      <c r="R1" s="220"/>
      <c r="S1" s="220"/>
      <c r="T1" s="220"/>
      <c r="U1" s="220"/>
      <c r="V1" s="220"/>
      <c r="W1" s="220"/>
      <c r="X1" s="220"/>
    </row>
    <row r="2" spans="3:26" s="223" customFormat="1" ht="22.5" customHeight="1" thickBot="1" x14ac:dyDescent="0.35">
      <c r="C2" s="1007" t="s">
        <v>431</v>
      </c>
      <c r="D2" s="222"/>
      <c r="E2" s="1010" t="s">
        <v>137</v>
      </c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0"/>
      <c r="S2" s="1010"/>
      <c r="T2" s="1010"/>
      <c r="U2" s="1010"/>
      <c r="V2" s="1010"/>
      <c r="W2" s="1010"/>
      <c r="X2" s="1011" t="s">
        <v>138</v>
      </c>
    </row>
    <row r="3" spans="3:26" s="230" customFormat="1" ht="16.5" customHeight="1" thickBot="1" x14ac:dyDescent="0.35">
      <c r="C3" s="1008"/>
      <c r="D3" s="224" t="s">
        <v>139</v>
      </c>
      <c r="E3" s="224" t="s">
        <v>140</v>
      </c>
      <c r="F3" s="224" t="s">
        <v>141</v>
      </c>
      <c r="G3" s="224" t="s">
        <v>142</v>
      </c>
      <c r="H3" s="225" t="s">
        <v>143</v>
      </c>
      <c r="I3" s="226" t="s">
        <v>144</v>
      </c>
      <c r="J3" s="227" t="s">
        <v>145</v>
      </c>
      <c r="K3" s="225" t="s">
        <v>146</v>
      </c>
      <c r="L3" s="225" t="s">
        <v>147</v>
      </c>
      <c r="M3" s="228" t="s">
        <v>148</v>
      </c>
      <c r="N3" s="225" t="s">
        <v>149</v>
      </c>
      <c r="O3" s="225" t="s">
        <v>150</v>
      </c>
      <c r="P3" s="225" t="s">
        <v>151</v>
      </c>
      <c r="Q3" s="225" t="s">
        <v>152</v>
      </c>
      <c r="R3" s="225" t="s">
        <v>153</v>
      </c>
      <c r="S3" s="225" t="s">
        <v>154</v>
      </c>
      <c r="T3" s="225" t="s">
        <v>155</v>
      </c>
      <c r="U3" s="225" t="s">
        <v>156</v>
      </c>
      <c r="V3" s="225" t="s">
        <v>157</v>
      </c>
      <c r="W3" s="229" t="s">
        <v>158</v>
      </c>
      <c r="X3" s="1012"/>
    </row>
    <row r="4" spans="3:26" s="230" customFormat="1" ht="15" customHeight="1" x14ac:dyDescent="0.3">
      <c r="C4" s="1008"/>
      <c r="D4" s="1014"/>
      <c r="E4" s="1016" t="s">
        <v>159</v>
      </c>
      <c r="F4" s="1004" t="s">
        <v>160</v>
      </c>
      <c r="G4" s="1004" t="s">
        <v>161</v>
      </c>
      <c r="H4" s="1004" t="s">
        <v>162</v>
      </c>
      <c r="I4" s="1019" t="s">
        <v>163</v>
      </c>
      <c r="J4" s="1004" t="s">
        <v>164</v>
      </c>
      <c r="K4" s="1004" t="s">
        <v>165</v>
      </c>
      <c r="L4" s="1004" t="s">
        <v>166</v>
      </c>
      <c r="M4" s="1020" t="s">
        <v>167</v>
      </c>
      <c r="N4" s="1004" t="s">
        <v>168</v>
      </c>
      <c r="O4" s="1004" t="s">
        <v>169</v>
      </c>
      <c r="P4" s="1004" t="s">
        <v>169</v>
      </c>
      <c r="Q4" s="1023" t="s">
        <v>170</v>
      </c>
      <c r="R4" s="1004" t="s">
        <v>171</v>
      </c>
      <c r="S4" s="1023" t="s">
        <v>172</v>
      </c>
      <c r="T4" s="1004" t="s">
        <v>173</v>
      </c>
      <c r="U4" s="1004" t="s">
        <v>174</v>
      </c>
      <c r="V4" s="1004" t="s">
        <v>175</v>
      </c>
      <c r="W4" s="1021" t="s">
        <v>176</v>
      </c>
      <c r="X4" s="1012"/>
    </row>
    <row r="5" spans="3:26" s="230" customFormat="1" ht="87.75" customHeight="1" thickBot="1" x14ac:dyDescent="0.35">
      <c r="C5" s="1009"/>
      <c r="D5" s="1015"/>
      <c r="E5" s="1017"/>
      <c r="F5" s="1018"/>
      <c r="G5" s="1018"/>
      <c r="H5" s="1005"/>
      <c r="I5" s="1005"/>
      <c r="J5" s="1005"/>
      <c r="K5" s="1005"/>
      <c r="L5" s="1005"/>
      <c r="M5" s="1005"/>
      <c r="N5" s="1005"/>
      <c r="O5" s="1005"/>
      <c r="P5" s="1005"/>
      <c r="Q5" s="1005"/>
      <c r="R5" s="1005"/>
      <c r="S5" s="1005"/>
      <c r="T5" s="1005"/>
      <c r="U5" s="1005"/>
      <c r="V5" s="1005"/>
      <c r="W5" s="1022"/>
      <c r="X5" s="1013"/>
    </row>
    <row r="6" spans="3:26" s="234" customFormat="1" ht="15" customHeight="1" x14ac:dyDescent="0.3">
      <c r="C6" s="19" t="s">
        <v>432</v>
      </c>
      <c r="D6" s="231"/>
      <c r="E6" s="606"/>
      <c r="F6" s="231"/>
      <c r="G6" s="231">
        <f>+meta3!$Y9</f>
        <v>0.91146383447898405</v>
      </c>
      <c r="H6" s="231">
        <f>+meta4!$AK9</f>
        <v>0.8959428495892009</v>
      </c>
      <c r="I6" s="231">
        <f>+meta5!$Z9</f>
        <v>0.91072081235751379</v>
      </c>
      <c r="J6" s="231">
        <f>+meta6.1a!$Z9</f>
        <v>0.7691057027459105</v>
      </c>
      <c r="K6" s="231">
        <f>+meta6.2!$Z9</f>
        <v>0.88368746568335466</v>
      </c>
      <c r="L6" s="231">
        <f>+meta7!$Y9</f>
        <v>1</v>
      </c>
      <c r="M6" s="231">
        <f>+meta8!$Y9</f>
        <v>0.65529582669557984</v>
      </c>
      <c r="N6" s="231">
        <f>+meta9!$Z9</f>
        <v>1</v>
      </c>
      <c r="O6" s="231">
        <f>+meta10a!$Z9</f>
        <v>1</v>
      </c>
      <c r="P6" s="231">
        <f>+meta10b!Y9</f>
        <v>0.851309900940313</v>
      </c>
      <c r="Q6" s="231"/>
      <c r="R6" s="231">
        <f>+meta13!$AK9</f>
        <v>1</v>
      </c>
      <c r="S6" s="231">
        <f>+meta14!O9</f>
        <v>0.54621210196389747</v>
      </c>
      <c r="T6" s="231">
        <f>+meta15!O9</f>
        <v>0.91256944133911422</v>
      </c>
      <c r="U6" s="231">
        <f>+meta16!O9</f>
        <v>0.84100333838217123</v>
      </c>
      <c r="V6" s="231">
        <f>+meta17!$Z9</f>
        <v>1</v>
      </c>
      <c r="W6" s="231">
        <f>+meta18!O9</f>
        <v>1</v>
      </c>
      <c r="X6" s="232">
        <f>+CumplimientoPonderado!X6</f>
        <v>0.77428458782213527</v>
      </c>
      <c r="Y6" s="233"/>
      <c r="Z6" s="233"/>
    </row>
    <row r="7" spans="3:26" s="234" customFormat="1" ht="15" customHeight="1" x14ac:dyDescent="0.3">
      <c r="C7" s="19" t="s">
        <v>433</v>
      </c>
      <c r="D7" s="235"/>
      <c r="E7" s="607"/>
      <c r="F7" s="235"/>
      <c r="G7" s="235">
        <f>+meta3!$Y10</f>
        <v>1</v>
      </c>
      <c r="H7" s="235">
        <f>+meta4!$AK10</f>
        <v>0.95333556048168744</v>
      </c>
      <c r="I7" s="235">
        <f>+meta5!$Z10</f>
        <v>0.52620228596075047</v>
      </c>
      <c r="J7" s="235">
        <f>+meta6.1a!$Z10</f>
        <v>1</v>
      </c>
      <c r="K7" s="235">
        <f>+meta6.2!$Z10</f>
        <v>1</v>
      </c>
      <c r="L7" s="235">
        <f>+meta7!$Y10</f>
        <v>1</v>
      </c>
      <c r="M7" s="235">
        <f>+meta8!$Y10</f>
        <v>1</v>
      </c>
      <c r="N7" s="235">
        <f>+meta9!$Z10</f>
        <v>0.90794148022008736</v>
      </c>
      <c r="O7" s="235">
        <f>+meta10a!$Z10</f>
        <v>1</v>
      </c>
      <c r="P7" s="235">
        <f>+meta10b!Y10</f>
        <v>1</v>
      </c>
      <c r="Q7" s="235"/>
      <c r="R7" s="235">
        <f>+meta13!$AK10</f>
        <v>1</v>
      </c>
      <c r="S7" s="235">
        <f>+meta14!O10</f>
        <v>1</v>
      </c>
      <c r="T7" s="235">
        <f>+meta15!O10</f>
        <v>1</v>
      </c>
      <c r="U7" s="235">
        <f>+meta16!O10</f>
        <v>0.98182177030199425</v>
      </c>
      <c r="V7" s="235">
        <f>+meta17!$Z10</f>
        <v>1</v>
      </c>
      <c r="W7" s="235">
        <f>+meta18!O10</f>
        <v>1</v>
      </c>
      <c r="X7" s="236">
        <f>+CumplimientoPonderado!X7</f>
        <v>0.82584115935161029</v>
      </c>
      <c r="Y7" s="233"/>
      <c r="Z7" s="233"/>
    </row>
    <row r="8" spans="3:26" s="234" customFormat="1" ht="15" customHeight="1" x14ac:dyDescent="0.3">
      <c r="C8" s="19" t="s">
        <v>434</v>
      </c>
      <c r="D8" s="235"/>
      <c r="E8" s="607"/>
      <c r="F8" s="235"/>
      <c r="G8" s="235">
        <f>+meta3!$Y11</f>
        <v>1</v>
      </c>
      <c r="H8" s="235">
        <f>+meta4!$AK11</f>
        <v>0.88481445810516801</v>
      </c>
      <c r="I8" s="235">
        <f>+meta5!$Z11</f>
        <v>0.77177852768403954</v>
      </c>
      <c r="J8" s="235">
        <f>+meta6.1a!$Z11</f>
        <v>1</v>
      </c>
      <c r="K8" s="235">
        <f>+meta6.2!$Z11</f>
        <v>1</v>
      </c>
      <c r="L8" s="235">
        <f>+meta7!$Y11</f>
        <v>1</v>
      </c>
      <c r="M8" s="235">
        <f>+meta8!$Y11</f>
        <v>0.93787815361529159</v>
      </c>
      <c r="N8" s="235">
        <f>+meta9!$Z11</f>
        <v>0.91559315912074102</v>
      </c>
      <c r="O8" s="235">
        <f>+meta10a!$Z11</f>
        <v>1</v>
      </c>
      <c r="P8" s="235">
        <f>+meta10b!Y11</f>
        <v>1</v>
      </c>
      <c r="Q8" s="235"/>
      <c r="R8" s="235">
        <f>+meta13!$AK11</f>
        <v>0.98183772461691099</v>
      </c>
      <c r="S8" s="235">
        <f>+meta14!O11</f>
        <v>0.86930557602833192</v>
      </c>
      <c r="T8" s="235">
        <f>+meta15!O11</f>
        <v>0.82344073545728669</v>
      </c>
      <c r="U8" s="235">
        <f>+meta16!O11</f>
        <v>0.79900529155987376</v>
      </c>
      <c r="V8" s="235">
        <f>+meta17!$Z11</f>
        <v>0.70943487751637169</v>
      </c>
      <c r="W8" s="235">
        <f>+meta18!O11</f>
        <v>1</v>
      </c>
      <c r="X8" s="236">
        <f>+CumplimientoPonderado!X8</f>
        <v>0.78818791542511313</v>
      </c>
      <c r="Y8" s="233"/>
      <c r="Z8" s="233"/>
    </row>
    <row r="9" spans="3:26" s="234" customFormat="1" ht="15" customHeight="1" x14ac:dyDescent="0.3">
      <c r="C9" s="19" t="s">
        <v>435</v>
      </c>
      <c r="D9" s="235"/>
      <c r="E9" s="607"/>
      <c r="F9" s="235"/>
      <c r="G9" s="235">
        <f>+meta3!$Y12</f>
        <v>1</v>
      </c>
      <c r="H9" s="235">
        <f>+meta4!$AK12</f>
        <v>0.91855162040996363</v>
      </c>
      <c r="I9" s="235">
        <f>+meta5!$Z12</f>
        <v>0.89301562222989395</v>
      </c>
      <c r="J9" s="235">
        <f>+meta6.1a!$Z12</f>
        <v>1</v>
      </c>
      <c r="K9" s="235">
        <f>+meta6.2!$Z12</f>
        <v>1</v>
      </c>
      <c r="L9" s="235">
        <f>+meta7!$Y12</f>
        <v>1</v>
      </c>
      <c r="M9" s="235">
        <f>+meta8!$Y12</f>
        <v>1</v>
      </c>
      <c r="N9" s="235">
        <f>+meta9!$Z12</f>
        <v>1</v>
      </c>
      <c r="O9" s="235">
        <f>+meta10a!$Z12</f>
        <v>1</v>
      </c>
      <c r="P9" s="235">
        <f>+meta10b!Y12</f>
        <v>1</v>
      </c>
      <c r="Q9" s="235"/>
      <c r="R9" s="235">
        <f>+meta13!$AK12</f>
        <v>1</v>
      </c>
      <c r="S9" s="235">
        <f>+meta14!O12</f>
        <v>1</v>
      </c>
      <c r="T9" s="235">
        <f>+meta15!O12</f>
        <v>1</v>
      </c>
      <c r="U9" s="235">
        <f>+meta16!O12</f>
        <v>1</v>
      </c>
      <c r="V9" s="235">
        <f>+meta17!$Z12</f>
        <v>1</v>
      </c>
      <c r="W9" s="235">
        <f>+meta18!O12</f>
        <v>1</v>
      </c>
      <c r="X9" s="236">
        <f>+CumplimientoPonderado!X9</f>
        <v>0.85585504162092796</v>
      </c>
      <c r="Y9" s="233"/>
      <c r="Z9" s="233"/>
    </row>
    <row r="10" spans="3:26" s="234" customFormat="1" ht="15" customHeight="1" x14ac:dyDescent="0.3">
      <c r="C10" s="19" t="s">
        <v>436</v>
      </c>
      <c r="D10" s="235"/>
      <c r="E10" s="607"/>
      <c r="F10" s="235"/>
      <c r="G10" s="235">
        <f>+meta3!$Y13</f>
        <v>1</v>
      </c>
      <c r="H10" s="235">
        <f>+meta4!$AK13</f>
        <v>0.81980534502849289</v>
      </c>
      <c r="I10" s="235">
        <f>+meta5!$Z13</f>
        <v>0.58813087069610925</v>
      </c>
      <c r="J10" s="235">
        <f>+meta6.1a!$Z13</f>
        <v>1</v>
      </c>
      <c r="K10" s="235">
        <f>+meta6.2!$Z13</f>
        <v>1</v>
      </c>
      <c r="L10" s="235">
        <f>+meta7!$Y13</f>
        <v>1</v>
      </c>
      <c r="M10" s="235">
        <f>+meta8!$Y13</f>
        <v>1</v>
      </c>
      <c r="N10" s="235">
        <f>+meta9!$Z13</f>
        <v>0.76194641216108694</v>
      </c>
      <c r="O10" s="235">
        <f>+meta10a!$Z13</f>
        <v>1</v>
      </c>
      <c r="P10" s="235">
        <f>+meta10b!Y13</f>
        <v>0.58007710742940521</v>
      </c>
      <c r="Q10" s="235"/>
      <c r="R10" s="235">
        <f>+meta13!$AK13</f>
        <v>0.96556285852223256</v>
      </c>
      <c r="S10" s="235">
        <f>+meta14!O13</f>
        <v>1</v>
      </c>
      <c r="T10" s="235">
        <f>+meta15!O13</f>
        <v>1</v>
      </c>
      <c r="U10" s="235">
        <f>+meta16!O13</f>
        <v>1</v>
      </c>
      <c r="V10" s="235">
        <f>+meta17!$Z13</f>
        <v>0.66030460767302879</v>
      </c>
      <c r="W10" s="235">
        <f>+meta18!O13</f>
        <v>1</v>
      </c>
      <c r="X10" s="236">
        <f>+CumplimientoPonderado!X10</f>
        <v>0.79416488942685681</v>
      </c>
      <c r="Y10" s="233"/>
      <c r="Z10" s="233"/>
    </row>
    <row r="11" spans="3:26" s="234" customFormat="1" ht="15" customHeight="1" x14ac:dyDescent="0.3">
      <c r="C11" s="19" t="s">
        <v>437</v>
      </c>
      <c r="D11" s="235"/>
      <c r="E11" s="607"/>
      <c r="F11" s="235"/>
      <c r="G11" s="235">
        <f>+meta3!$Y14</f>
        <v>1</v>
      </c>
      <c r="H11" s="235">
        <f>+meta4!$AK14</f>
        <v>0.82344203383262682</v>
      </c>
      <c r="I11" s="235">
        <f>+meta5!$Z14</f>
        <v>0.4598153036878912</v>
      </c>
      <c r="J11" s="235">
        <f>+meta6.1a!$Z14</f>
        <v>0.78813668291949002</v>
      </c>
      <c r="K11" s="235">
        <f>+meta6.2!$Z14</f>
        <v>1</v>
      </c>
      <c r="L11" s="235">
        <f>+meta7!$Y14</f>
        <v>1</v>
      </c>
      <c r="M11" s="235">
        <f>+meta8!$Y14</f>
        <v>0.94765858014437721</v>
      </c>
      <c r="N11" s="235">
        <f>+meta9!$Z14</f>
        <v>1</v>
      </c>
      <c r="O11" s="235">
        <f>+meta10a!$Z14</f>
        <v>1</v>
      </c>
      <c r="P11" s="235">
        <f>+meta10b!Y14</f>
        <v>1</v>
      </c>
      <c r="Q11" s="235"/>
      <c r="R11" s="235">
        <f>+meta13!$AK14</f>
        <v>1</v>
      </c>
      <c r="S11" s="235">
        <f>+meta14!O14</f>
        <v>0</v>
      </c>
      <c r="T11" s="235">
        <f>+meta15!O14</f>
        <v>1</v>
      </c>
      <c r="U11" s="235">
        <f>+meta16!O14</f>
        <v>1</v>
      </c>
      <c r="V11" s="235">
        <f>+meta17!$Z14</f>
        <v>1</v>
      </c>
      <c r="W11" s="235">
        <f>+meta18!O14</f>
        <v>1</v>
      </c>
      <c r="X11" s="236">
        <f>+CumplimientoPonderado!X11</f>
        <v>0.75068799962524302</v>
      </c>
      <c r="Y11" s="233"/>
      <c r="Z11" s="233"/>
    </row>
    <row r="12" spans="3:26" s="234" customFormat="1" ht="15" customHeight="1" thickBot="1" x14ac:dyDescent="0.35">
      <c r="C12" s="28" t="s">
        <v>438</v>
      </c>
      <c r="D12" s="759"/>
      <c r="E12" s="760"/>
      <c r="F12" s="759"/>
      <c r="G12" s="759">
        <f>+meta3!$Y15</f>
        <v>1</v>
      </c>
      <c r="H12" s="759">
        <f>+meta4!$AK15</f>
        <v>0.83917482925828168</v>
      </c>
      <c r="I12" s="759">
        <f>+meta5!$Z15</f>
        <v>1</v>
      </c>
      <c r="J12" s="759">
        <f>+meta6.1a!$Z15</f>
        <v>0.50887652431766339</v>
      </c>
      <c r="K12" s="759">
        <f>+meta6.2!$Z15</f>
        <v>1</v>
      </c>
      <c r="L12" s="759">
        <f>+meta7!$Y15</f>
        <v>1</v>
      </c>
      <c r="M12" s="759">
        <f>+meta8!$Y15</f>
        <v>0.76955975626335948</v>
      </c>
      <c r="N12" s="759">
        <f>+meta9!$Z15</f>
        <v>1</v>
      </c>
      <c r="O12" s="759">
        <f>+meta10a!$Z15</f>
        <v>1</v>
      </c>
      <c r="P12" s="759">
        <f>+meta10b!Y15</f>
        <v>0.61435523114355239</v>
      </c>
      <c r="Q12" s="759"/>
      <c r="R12" s="759">
        <f>+meta13!$AK15</f>
        <v>0.70554514386506451</v>
      </c>
      <c r="S12" s="759">
        <f>+meta14!O15</f>
        <v>1</v>
      </c>
      <c r="T12" s="759">
        <f>+meta15!O15</f>
        <v>1</v>
      </c>
      <c r="U12" s="759">
        <f>+meta16!O15</f>
        <v>1</v>
      </c>
      <c r="V12" s="759">
        <f>+meta17!$Z15</f>
        <v>1</v>
      </c>
      <c r="W12" s="759">
        <f>+meta18!O15</f>
        <v>1</v>
      </c>
      <c r="X12" s="761">
        <f>+CumplimientoPonderado!X12</f>
        <v>0.80226602222702514</v>
      </c>
      <c r="Y12" s="233"/>
      <c r="Z12" s="233"/>
    </row>
    <row r="13" spans="3:26" s="234" customFormat="1" ht="15" customHeight="1" thickBot="1" x14ac:dyDescent="0.25">
      <c r="C13" s="762" t="s">
        <v>15</v>
      </c>
      <c r="D13" s="763"/>
      <c r="E13" s="764">
        <f>+meta2.1!$M8</f>
        <v>1</v>
      </c>
      <c r="F13" s="763">
        <f>+meta2.2!$M8</f>
        <v>1</v>
      </c>
      <c r="G13" s="763">
        <f>+meta3!$Y16</f>
        <v>1</v>
      </c>
      <c r="H13" s="763">
        <f>+meta4!$AK16</f>
        <v>0.89036855102948576</v>
      </c>
      <c r="I13" s="763">
        <f>+meta5!$Z16</f>
        <v>0.82993499390824887</v>
      </c>
      <c r="J13" s="763">
        <f>+meta6.1a!$Z16</f>
        <v>1</v>
      </c>
      <c r="K13" s="763">
        <f>+meta6.2!$Z16</f>
        <v>1</v>
      </c>
      <c r="L13" s="763">
        <f>+meta7!$Y16</f>
        <v>1</v>
      </c>
      <c r="M13" s="763">
        <f>+meta8!$Y16</f>
        <v>0.98905016967921155</v>
      </c>
      <c r="N13" s="763">
        <f>+meta9!$Z16</f>
        <v>1</v>
      </c>
      <c r="O13" s="763">
        <f>+meta10a!$Z16</f>
        <v>0</v>
      </c>
      <c r="P13" s="763">
        <f>+meta10b!Y16</f>
        <v>0.94393767228499903</v>
      </c>
      <c r="Q13" s="763">
        <f>+meta12!M8</f>
        <v>1</v>
      </c>
      <c r="R13" s="763">
        <f>+meta13!$AK16</f>
        <v>1</v>
      </c>
      <c r="S13" s="763">
        <f>+meta14!O16</f>
        <v>1</v>
      </c>
      <c r="T13" s="763">
        <f>+meta15!O16</f>
        <v>1</v>
      </c>
      <c r="U13" s="763">
        <f>+meta16!O16</f>
        <v>0.9593145780765624</v>
      </c>
      <c r="V13" s="763">
        <f>+meta17!$Z16</f>
        <v>1</v>
      </c>
      <c r="W13" s="763">
        <f>+meta18!O16</f>
        <v>1</v>
      </c>
      <c r="X13" s="765">
        <f>+CumplimientoPonderado!X13</f>
        <v>0.98223910819143978</v>
      </c>
      <c r="Y13" s="233"/>
      <c r="Z13" s="233"/>
    </row>
    <row r="14" spans="3:26" s="234" customFormat="1" ht="12.75" x14ac:dyDescent="0.2">
      <c r="G14" s="605"/>
      <c r="X14" s="233"/>
    </row>
    <row r="15" spans="3:26" x14ac:dyDescent="0.25">
      <c r="G15" s="235"/>
    </row>
  </sheetData>
  <mergeCells count="24">
    <mergeCell ref="V4:V5"/>
    <mergeCell ref="W4:W5"/>
    <mergeCell ref="P4:P5"/>
    <mergeCell ref="Q4:Q5"/>
    <mergeCell ref="R4:R5"/>
    <mergeCell ref="S4:S5"/>
    <mergeCell ref="T4:T5"/>
    <mergeCell ref="U4:U5"/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8530-CE66-4FE1-9596-FF2CF4DC15A6}">
  <sheetPr codeName="Hoja25">
    <tabColor theme="4" tint="0.39997558519241921"/>
  </sheetPr>
  <dimension ref="C1:AA13"/>
  <sheetViews>
    <sheetView zoomScale="85" zoomScaleNormal="85" workbookViewId="0">
      <selection activeCell="R20" sqref="R20:R21"/>
    </sheetView>
  </sheetViews>
  <sheetFormatPr baseColWidth="10" defaultRowHeight="15" x14ac:dyDescent="0.25"/>
  <cols>
    <col min="1" max="2" width="2" style="237" customWidth="1"/>
    <col min="3" max="3" width="45.140625" style="237" bestFit="1" customWidth="1"/>
    <col min="4" max="4" width="10.140625" style="237" hidden="1" customWidth="1"/>
    <col min="5" max="5" width="10.140625" style="237" customWidth="1"/>
    <col min="6" max="6" width="10.42578125" style="237" customWidth="1"/>
    <col min="7" max="7" width="9.140625" style="237" customWidth="1"/>
    <col min="8" max="8" width="10.42578125" style="237" customWidth="1"/>
    <col min="9" max="9" width="10" style="237" customWidth="1"/>
    <col min="10" max="10" width="11.28515625" style="237" customWidth="1"/>
    <col min="11" max="11" width="11.140625" style="237" customWidth="1"/>
    <col min="12" max="12" width="13.42578125" style="237" customWidth="1"/>
    <col min="13" max="13" width="11.5703125" style="237" customWidth="1"/>
    <col min="14" max="14" width="12.85546875" style="237" customWidth="1"/>
    <col min="15" max="15" width="12.140625" style="237" customWidth="1"/>
    <col min="16" max="21" width="12.42578125" style="237" customWidth="1"/>
    <col min="22" max="23" width="13.140625" style="237" customWidth="1"/>
    <col min="24" max="24" width="13.140625" style="238" customWidth="1"/>
    <col min="25" max="16384" width="11.42578125" style="237"/>
  </cols>
  <sheetData>
    <row r="1" spans="3:27" s="221" customFormat="1" ht="28.5" customHeight="1" thickBot="1" x14ac:dyDescent="0.5">
      <c r="C1" s="1006" t="s">
        <v>0</v>
      </c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220"/>
      <c r="Q1" s="220"/>
      <c r="S1" s="220" t="str">
        <f>+NOMBRE!B7</f>
        <v>ENERO - OCTUBRE 2024</v>
      </c>
      <c r="T1" s="220"/>
      <c r="U1" s="220"/>
      <c r="V1" s="220"/>
      <c r="W1" s="220"/>
      <c r="X1" s="220"/>
    </row>
    <row r="2" spans="3:27" s="223" customFormat="1" ht="18" customHeight="1" thickBot="1" x14ac:dyDescent="0.35">
      <c r="C2" s="1007"/>
      <c r="D2" s="222"/>
      <c r="E2" s="1010" t="s">
        <v>177</v>
      </c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0"/>
      <c r="S2" s="1010"/>
      <c r="T2" s="1010"/>
      <c r="U2" s="1010"/>
      <c r="V2" s="1010"/>
      <c r="W2" s="1025"/>
      <c r="X2" s="1011" t="s">
        <v>138</v>
      </c>
    </row>
    <row r="3" spans="3:27" s="230" customFormat="1" ht="16.5" customHeight="1" thickBot="1" x14ac:dyDescent="0.35">
      <c r="C3" s="1008"/>
      <c r="D3" s="224" t="s">
        <v>139</v>
      </c>
      <c r="E3" s="224" t="s">
        <v>140</v>
      </c>
      <c r="F3" s="224" t="s">
        <v>141</v>
      </c>
      <c r="G3" s="224" t="s">
        <v>142</v>
      </c>
      <c r="H3" s="225" t="s">
        <v>143</v>
      </c>
      <c r="I3" s="226" t="s">
        <v>144</v>
      </c>
      <c r="J3" s="227" t="s">
        <v>145</v>
      </c>
      <c r="K3" s="225" t="s">
        <v>146</v>
      </c>
      <c r="L3" s="225" t="s">
        <v>147</v>
      </c>
      <c r="M3" s="228" t="s">
        <v>148</v>
      </c>
      <c r="N3" s="225" t="s">
        <v>149</v>
      </c>
      <c r="O3" s="225" t="s">
        <v>150</v>
      </c>
      <c r="P3" s="225" t="s">
        <v>151</v>
      </c>
      <c r="Q3" s="225" t="s">
        <v>152</v>
      </c>
      <c r="R3" s="225" t="s">
        <v>153</v>
      </c>
      <c r="S3" s="225" t="s">
        <v>154</v>
      </c>
      <c r="T3" s="225" t="s">
        <v>155</v>
      </c>
      <c r="U3" s="225" t="s">
        <v>156</v>
      </c>
      <c r="V3" s="225" t="s">
        <v>157</v>
      </c>
      <c r="W3" s="239" t="s">
        <v>158</v>
      </c>
      <c r="X3" s="1012"/>
    </row>
    <row r="4" spans="3:27" s="230" customFormat="1" ht="15" customHeight="1" x14ac:dyDescent="0.3">
      <c r="C4" s="1008"/>
      <c r="D4" s="1014"/>
      <c r="E4" s="1016" t="s">
        <v>178</v>
      </c>
      <c r="F4" s="1004" t="s">
        <v>160</v>
      </c>
      <c r="G4" s="1004" t="s">
        <v>161</v>
      </c>
      <c r="H4" s="1004" t="s">
        <v>162</v>
      </c>
      <c r="I4" s="1019" t="s">
        <v>163</v>
      </c>
      <c r="J4" s="1004" t="s">
        <v>179</v>
      </c>
      <c r="K4" s="1004" t="s">
        <v>180</v>
      </c>
      <c r="L4" s="1004" t="s">
        <v>181</v>
      </c>
      <c r="M4" s="1020" t="s">
        <v>167</v>
      </c>
      <c r="N4" s="1004" t="s">
        <v>182</v>
      </c>
      <c r="O4" s="1004" t="s">
        <v>183</v>
      </c>
      <c r="P4" s="1004" t="s">
        <v>183</v>
      </c>
      <c r="Q4" s="1028" t="s">
        <v>184</v>
      </c>
      <c r="R4" s="1004" t="s">
        <v>171</v>
      </c>
      <c r="S4" s="1023" t="s">
        <v>172</v>
      </c>
      <c r="T4" s="1004" t="s">
        <v>173</v>
      </c>
      <c r="U4" s="1004" t="s">
        <v>174</v>
      </c>
      <c r="V4" s="1004" t="s">
        <v>175</v>
      </c>
      <c r="W4" s="1021" t="s">
        <v>176</v>
      </c>
      <c r="X4" s="1012"/>
    </row>
    <row r="5" spans="3:27" s="230" customFormat="1" ht="87.75" customHeight="1" thickBot="1" x14ac:dyDescent="0.35">
      <c r="C5" s="1009"/>
      <c r="D5" s="1015"/>
      <c r="E5" s="1026"/>
      <c r="F5" s="1027"/>
      <c r="G5" s="1027"/>
      <c r="H5" s="1024"/>
      <c r="I5" s="1024"/>
      <c r="J5" s="1024"/>
      <c r="K5" s="1024"/>
      <c r="L5" s="1024"/>
      <c r="M5" s="1024"/>
      <c r="N5" s="1024"/>
      <c r="O5" s="1024"/>
      <c r="P5" s="1024"/>
      <c r="Q5" s="1024"/>
      <c r="R5" s="1024"/>
      <c r="S5" s="1005"/>
      <c r="T5" s="1005"/>
      <c r="U5" s="1005"/>
      <c r="V5" s="1005"/>
      <c r="W5" s="1022"/>
      <c r="X5" s="1013"/>
    </row>
    <row r="6" spans="3:27" ht="15" customHeight="1" x14ac:dyDescent="0.25">
      <c r="C6" s="604" t="s">
        <v>432</v>
      </c>
      <c r="D6" s="240"/>
      <c r="E6" s="240"/>
      <c r="F6" s="240"/>
      <c r="G6" s="240">
        <f>+meta3!$Z9</f>
        <v>5.6966489654936503E-2</v>
      </c>
      <c r="H6" s="240">
        <f>+meta4!$AL9</f>
        <v>4.918726244244713E-2</v>
      </c>
      <c r="I6" s="240">
        <f>+meta5!$AA9</f>
        <v>4.9998572598427514E-2</v>
      </c>
      <c r="J6" s="240">
        <f>+meta6.1a!$AA9</f>
        <v>2.5380488190615048E-2</v>
      </c>
      <c r="K6" s="240">
        <f>+meta6.2!$AA9</f>
        <v>6.026748515960479E-2</v>
      </c>
      <c r="L6" s="240">
        <f>+meta7!$Z9</f>
        <v>5.4900000000000004E-2</v>
      </c>
      <c r="M6" s="240">
        <f>+meta8!$Z9</f>
        <v>4.4691175380638548E-2</v>
      </c>
      <c r="N6" s="240">
        <f>+meta9!$AA9</f>
        <v>5.4900000000000004E-2</v>
      </c>
      <c r="O6" s="240">
        <f>+meta10a!AA9</f>
        <v>5.2699999999999997E-2</v>
      </c>
      <c r="P6" s="240">
        <f>+meta10b!Z9</f>
        <v>1.1237290692412132E-2</v>
      </c>
      <c r="Q6" s="241"/>
      <c r="R6" s="240">
        <f>+meta13!$AL9</f>
        <v>6.59E-2</v>
      </c>
      <c r="S6" s="241">
        <f>+meta14!P9</f>
        <v>3.5995377519420842E-2</v>
      </c>
      <c r="T6" s="241">
        <f>+meta15!P9</f>
        <v>6.013832618424763E-2</v>
      </c>
      <c r="U6" s="241">
        <f>+meta16!P9</f>
        <v>5.542211999938508E-2</v>
      </c>
      <c r="V6" s="240">
        <f>+meta17!$AA9</f>
        <v>5.4900000000000004E-2</v>
      </c>
      <c r="W6" s="242">
        <f>+meta18!P9</f>
        <v>4.1700000000000001E-2</v>
      </c>
      <c r="X6" s="243">
        <f>SUM(D6:W6)</f>
        <v>0.77428458782213527</v>
      </c>
      <c r="Z6" s="238"/>
      <c r="AA6" s="238"/>
    </row>
    <row r="7" spans="3:27" ht="15" customHeight="1" x14ac:dyDescent="0.25">
      <c r="C7" s="604" t="s">
        <v>433</v>
      </c>
      <c r="D7" s="244"/>
      <c r="E7" s="244"/>
      <c r="F7" s="244"/>
      <c r="G7" s="244">
        <f>+meta3!$Z9</f>
        <v>5.6966489654936503E-2</v>
      </c>
      <c r="H7" s="244">
        <f>+meta4!$AL10</f>
        <v>5.2338122270444647E-2</v>
      </c>
      <c r="I7" s="244">
        <f>+meta5!$AA10</f>
        <v>2.8888505499245203E-2</v>
      </c>
      <c r="J7" s="244">
        <f>+meta6.1a!$AA10</f>
        <v>3.3000000000000002E-2</v>
      </c>
      <c r="K7" s="244">
        <f>+meta6.2!$AA10</f>
        <v>6.25E-2</v>
      </c>
      <c r="L7" s="244">
        <f>+meta7!$Z10</f>
        <v>5.4900000000000004E-2</v>
      </c>
      <c r="M7" s="244">
        <f>+meta8!$Z10</f>
        <v>6.25E-2</v>
      </c>
      <c r="N7" s="244">
        <f>+meta9!$AA10</f>
        <v>4.9845987264082792E-2</v>
      </c>
      <c r="O7" s="244">
        <f>+meta10a!AA10</f>
        <v>5.2699999999999997E-2</v>
      </c>
      <c r="P7" s="244">
        <f>+meta10b!Z10</f>
        <v>1.32E-2</v>
      </c>
      <c r="Q7" s="244"/>
      <c r="R7" s="244">
        <f>+meta13!$AL10</f>
        <v>6.59E-2</v>
      </c>
      <c r="S7" s="244">
        <f>+meta14!P10</f>
        <v>6.59E-2</v>
      </c>
      <c r="T7" s="244">
        <f>+meta15!P10</f>
        <v>6.59E-2</v>
      </c>
      <c r="U7" s="244">
        <f>+meta16!P10</f>
        <v>6.4702054662901409E-2</v>
      </c>
      <c r="V7" s="244">
        <f>+meta17!$AA10</f>
        <v>5.4900000000000004E-2</v>
      </c>
      <c r="W7" s="242">
        <f>+meta18!P10</f>
        <v>4.1700000000000001E-2</v>
      </c>
      <c r="X7" s="245">
        <f t="shared" ref="X7:X13" si="0">SUM(D7:W7)</f>
        <v>0.82584115935161029</v>
      </c>
      <c r="Z7" s="238"/>
      <c r="AA7" s="238"/>
    </row>
    <row r="8" spans="3:27" ht="15" customHeight="1" x14ac:dyDescent="0.25">
      <c r="C8" s="604" t="s">
        <v>434</v>
      </c>
      <c r="D8" s="244"/>
      <c r="E8" s="244"/>
      <c r="F8" s="244"/>
      <c r="G8" s="244">
        <f>+meta3!$Z10</f>
        <v>6.25E-2</v>
      </c>
      <c r="H8" s="244">
        <f>+meta4!$AL11</f>
        <v>4.8576313749973725E-2</v>
      </c>
      <c r="I8" s="244">
        <f>+meta5!$AA11</f>
        <v>4.237064116985377E-2</v>
      </c>
      <c r="J8" s="244">
        <f>+meta6.1a!$AA11</f>
        <v>3.3000000000000002E-2</v>
      </c>
      <c r="K8" s="244">
        <f>+meta6.2!$AA11</f>
        <v>6.25E-2</v>
      </c>
      <c r="L8" s="244">
        <f>+meta7!$Z11</f>
        <v>5.4900000000000004E-2</v>
      </c>
      <c r="M8" s="244">
        <f>+meta8!$Z11</f>
        <v>5.8617384600955724E-2</v>
      </c>
      <c r="N8" s="244">
        <f>+meta9!$AA11</f>
        <v>5.0266064435728681E-2</v>
      </c>
      <c r="O8" s="244">
        <f>+meta10a!AA11</f>
        <v>5.2699999999999997E-2</v>
      </c>
      <c r="P8" s="244">
        <f>+meta10b!Z11</f>
        <v>1.32E-2</v>
      </c>
      <c r="Q8" s="152"/>
      <c r="R8" s="244">
        <f>+meta13!$AL11</f>
        <v>6.4703106052254433E-2</v>
      </c>
      <c r="S8" s="244">
        <f>+meta14!P11</f>
        <v>5.7287237460267072E-2</v>
      </c>
      <c r="T8" s="244">
        <f>+meta15!P11</f>
        <v>5.4264744466635192E-2</v>
      </c>
      <c r="U8" s="244">
        <f>+meta16!P11</f>
        <v>5.2654448713795682E-2</v>
      </c>
      <c r="V8" s="244">
        <f>+meta17!$AA11</f>
        <v>3.8947974775648805E-2</v>
      </c>
      <c r="W8" s="242">
        <f>+meta18!P11</f>
        <v>4.1700000000000001E-2</v>
      </c>
      <c r="X8" s="245">
        <f t="shared" si="0"/>
        <v>0.78818791542511313</v>
      </c>
      <c r="Z8" s="238"/>
      <c r="AA8" s="238"/>
    </row>
    <row r="9" spans="3:27" ht="15" customHeight="1" x14ac:dyDescent="0.25">
      <c r="C9" s="604" t="s">
        <v>435</v>
      </c>
      <c r="D9" s="244"/>
      <c r="E9" s="244"/>
      <c r="F9" s="244"/>
      <c r="G9" s="244">
        <f>+meta3!$Z11</f>
        <v>6.25E-2</v>
      </c>
      <c r="H9" s="244">
        <f>+meta4!$AL12</f>
        <v>5.042848396050701E-2</v>
      </c>
      <c r="I9" s="244">
        <f>+meta5!$AA12</f>
        <v>4.9026557660421181E-2</v>
      </c>
      <c r="J9" s="244">
        <f>+meta6.1a!$AA12</f>
        <v>3.3000000000000002E-2</v>
      </c>
      <c r="K9" s="244">
        <f>+meta6.2!$AA12</f>
        <v>6.25E-2</v>
      </c>
      <c r="L9" s="244">
        <f>+meta7!$Z12</f>
        <v>5.4900000000000004E-2</v>
      </c>
      <c r="M9" s="244">
        <f>+meta8!$Z12</f>
        <v>6.25E-2</v>
      </c>
      <c r="N9" s="244">
        <f>+meta9!$AA12</f>
        <v>5.4900000000000004E-2</v>
      </c>
      <c r="O9" s="244">
        <f>+meta10a!AA12</f>
        <v>5.2699999999999997E-2</v>
      </c>
      <c r="P9" s="244">
        <f>+meta10b!Z12</f>
        <v>1.32E-2</v>
      </c>
      <c r="Q9" s="152"/>
      <c r="R9" s="244">
        <f>+meta13!$AL12</f>
        <v>6.59E-2</v>
      </c>
      <c r="S9" s="244">
        <f>+meta14!P12</f>
        <v>6.59E-2</v>
      </c>
      <c r="T9" s="244">
        <f>+meta15!P12</f>
        <v>6.59E-2</v>
      </c>
      <c r="U9" s="244">
        <f>+meta16!P12</f>
        <v>6.59E-2</v>
      </c>
      <c r="V9" s="244">
        <f>+meta17!$AA12</f>
        <v>5.4900000000000004E-2</v>
      </c>
      <c r="W9" s="242">
        <f>+meta18!P12</f>
        <v>4.1700000000000001E-2</v>
      </c>
      <c r="X9" s="245">
        <f t="shared" si="0"/>
        <v>0.85585504162092796</v>
      </c>
      <c r="Z9" s="238"/>
      <c r="AA9" s="238"/>
    </row>
    <row r="10" spans="3:27" ht="15" customHeight="1" x14ac:dyDescent="0.25">
      <c r="C10" s="604" t="s">
        <v>436</v>
      </c>
      <c r="D10" s="244"/>
      <c r="E10" s="244"/>
      <c r="F10" s="244"/>
      <c r="G10" s="244">
        <f>+meta3!$Z12</f>
        <v>6.25E-2</v>
      </c>
      <c r="H10" s="244">
        <f>+meta4!$AL13</f>
        <v>4.500731344206426E-2</v>
      </c>
      <c r="I10" s="244">
        <f>+meta5!$AA13</f>
        <v>3.2288384801216402E-2</v>
      </c>
      <c r="J10" s="244">
        <f>+meta6.1a!$AA13</f>
        <v>3.3000000000000002E-2</v>
      </c>
      <c r="K10" s="244">
        <f>+meta6.2!$AA13</f>
        <v>6.25E-2</v>
      </c>
      <c r="L10" s="244">
        <f>+meta7!$Z13</f>
        <v>5.4900000000000004E-2</v>
      </c>
      <c r="M10" s="244">
        <f>+meta8!$Z13</f>
        <v>6.25E-2</v>
      </c>
      <c r="N10" s="244">
        <f>+meta9!$AA13</f>
        <v>4.1830858027643671E-2</v>
      </c>
      <c r="O10" s="244">
        <f>+meta10a!AA13</f>
        <v>5.2699999999999997E-2</v>
      </c>
      <c r="P10" s="244">
        <f>+meta10b!Z13</f>
        <v>7.6570178180681491E-3</v>
      </c>
      <c r="Q10" s="152"/>
      <c r="R10" s="244">
        <f>+meta13!$AL13</f>
        <v>6.3630592376615128E-2</v>
      </c>
      <c r="S10" s="244">
        <f>+meta14!P13</f>
        <v>6.59E-2</v>
      </c>
      <c r="T10" s="244">
        <f>+meta15!P13</f>
        <v>6.59E-2</v>
      </c>
      <c r="U10" s="244">
        <f>+meta16!P13</f>
        <v>6.59E-2</v>
      </c>
      <c r="V10" s="244">
        <f>+meta17!$AA13</f>
        <v>3.6250722961249281E-2</v>
      </c>
      <c r="W10" s="242">
        <f>+meta18!P13</f>
        <v>4.1700000000000001E-2</v>
      </c>
      <c r="X10" s="245">
        <f t="shared" si="0"/>
        <v>0.79416488942685681</v>
      </c>
      <c r="Z10" s="238"/>
      <c r="AA10" s="238"/>
    </row>
    <row r="11" spans="3:27" ht="15" customHeight="1" x14ac:dyDescent="0.25">
      <c r="C11" s="604" t="s">
        <v>437</v>
      </c>
      <c r="D11" s="244"/>
      <c r="E11" s="244"/>
      <c r="F11" s="244"/>
      <c r="G11" s="244">
        <f>+meta3!$Z13</f>
        <v>6.25E-2</v>
      </c>
      <c r="H11" s="244">
        <f>+meta4!$AL14</f>
        <v>4.5206967657411209E-2</v>
      </c>
      <c r="I11" s="244">
        <f>+meta5!$AA14</f>
        <v>2.5243860172465226E-2</v>
      </c>
      <c r="J11" s="244">
        <f>+meta6.1a!$AA14</f>
        <v>2.600851053634317E-2</v>
      </c>
      <c r="K11" s="244">
        <f>+meta6.2!$AA14</f>
        <v>6.25E-2</v>
      </c>
      <c r="L11" s="244">
        <f>+meta7!$Z14</f>
        <v>5.4900000000000004E-2</v>
      </c>
      <c r="M11" s="244">
        <f>+meta8!$Z14</f>
        <v>5.9228661259023575E-2</v>
      </c>
      <c r="N11" s="244">
        <f>+meta9!$AA14</f>
        <v>5.4900000000000004E-2</v>
      </c>
      <c r="O11" s="244">
        <f>+meta10a!AA14</f>
        <v>5.2699999999999997E-2</v>
      </c>
      <c r="P11" s="244">
        <f>+meta10b!Z14</f>
        <v>1.32E-2</v>
      </c>
      <c r="Q11" s="152"/>
      <c r="R11" s="244">
        <f>+meta13!$AL14</f>
        <v>6.59E-2</v>
      </c>
      <c r="S11" s="244">
        <f>+meta14!P14</f>
        <v>0</v>
      </c>
      <c r="T11" s="244">
        <f>+meta15!P14</f>
        <v>6.59E-2</v>
      </c>
      <c r="U11" s="244">
        <f>+meta16!P14</f>
        <v>6.59E-2</v>
      </c>
      <c r="V11" s="244">
        <f>+meta17!$AA14</f>
        <v>5.4900000000000004E-2</v>
      </c>
      <c r="W11" s="242">
        <f>+meta18!P14</f>
        <v>4.1700000000000001E-2</v>
      </c>
      <c r="X11" s="245">
        <f t="shared" si="0"/>
        <v>0.75068799962524302</v>
      </c>
      <c r="Z11" s="238"/>
      <c r="AA11" s="238"/>
    </row>
    <row r="12" spans="3:27" ht="15" customHeight="1" thickBot="1" x14ac:dyDescent="0.3">
      <c r="C12" s="766" t="s">
        <v>438</v>
      </c>
      <c r="D12" s="767"/>
      <c r="E12" s="767"/>
      <c r="F12" s="767"/>
      <c r="G12" s="767">
        <f>+meta3!$Z14</f>
        <v>6.25E-2</v>
      </c>
      <c r="H12" s="767">
        <f>+meta4!$AL15</f>
        <v>4.6070698126279667E-2</v>
      </c>
      <c r="I12" s="767">
        <f>+meta5!$AA15</f>
        <v>5.4900000000000004E-2</v>
      </c>
      <c r="J12" s="767">
        <f>+meta6.1a!$AA15</f>
        <v>1.679292530248289E-2</v>
      </c>
      <c r="K12" s="767">
        <f>+meta6.2!$AA15</f>
        <v>6.25E-2</v>
      </c>
      <c r="L12" s="767">
        <f>+meta7!$Z15</f>
        <v>5.4900000000000004E-2</v>
      </c>
      <c r="M12" s="767">
        <f>+meta8!$Z15</f>
        <v>4.8097484766459961E-2</v>
      </c>
      <c r="N12" s="767">
        <f>+meta9!$AA15</f>
        <v>5.4900000000000004E-2</v>
      </c>
      <c r="O12" s="767">
        <f>+meta10a!AA15</f>
        <v>5.2699999999999997E-2</v>
      </c>
      <c r="P12" s="767">
        <f>+meta10b!Z15</f>
        <v>8.1094890510948932E-3</v>
      </c>
      <c r="Q12" s="152"/>
      <c r="R12" s="767">
        <f>+meta13!$AL15</f>
        <v>4.6495424980707752E-2</v>
      </c>
      <c r="S12" s="767">
        <f>+meta14!P15</f>
        <v>6.59E-2</v>
      </c>
      <c r="T12" s="767">
        <f>+meta15!P15</f>
        <v>6.59E-2</v>
      </c>
      <c r="U12" s="767">
        <f>+meta16!P15</f>
        <v>6.59E-2</v>
      </c>
      <c r="V12" s="767">
        <f>+meta17!$AA15</f>
        <v>5.4900000000000004E-2</v>
      </c>
      <c r="W12" s="768">
        <f>+meta18!P15</f>
        <v>4.1700000000000001E-2</v>
      </c>
      <c r="X12" s="769">
        <f t="shared" si="0"/>
        <v>0.80226602222702514</v>
      </c>
      <c r="Z12" s="238"/>
      <c r="AA12" s="238"/>
    </row>
    <row r="13" spans="3:27" ht="15" customHeight="1" thickBot="1" x14ac:dyDescent="0.3">
      <c r="C13" s="770" t="s">
        <v>15</v>
      </c>
      <c r="D13" s="771"/>
      <c r="E13" s="771">
        <f>+meta2.1!$N8</f>
        <v>4.1700000000000001E-2</v>
      </c>
      <c r="F13" s="771">
        <f>+meta2.2!$N8</f>
        <v>4.1700000000000001E-2</v>
      </c>
      <c r="G13" s="771">
        <f>+meta3!$Z16</f>
        <v>6.25E-2</v>
      </c>
      <c r="H13" s="771">
        <f>+meta4!$AL16</f>
        <v>4.888123345151877E-2</v>
      </c>
      <c r="I13" s="771">
        <f>+meta5!$AA16</f>
        <v>4.5563431165562863E-2</v>
      </c>
      <c r="J13" s="771">
        <f>+meta6.1a!$AA16</f>
        <v>3.3000000000000002E-2</v>
      </c>
      <c r="K13" s="771">
        <f>+meta6.2!$AA16</f>
        <v>6.25E-2</v>
      </c>
      <c r="L13" s="771">
        <f>+meta7!$Z16</f>
        <v>5.4900000000000004E-2</v>
      </c>
      <c r="M13" s="771">
        <f>+meta8!$Z16</f>
        <v>6.1815635604950722E-2</v>
      </c>
      <c r="N13" s="771">
        <f>+meta9!$AA16</f>
        <v>5.4900000000000004E-2</v>
      </c>
      <c r="O13" s="771">
        <f>+meta10a!AA17</f>
        <v>5.2699999999999997E-2</v>
      </c>
      <c r="P13" s="771">
        <f>+meta10b!Z16</f>
        <v>1.2459977274161989E-2</v>
      </c>
      <c r="Q13" s="772">
        <f>+meta12!N8</f>
        <v>5.21E-2</v>
      </c>
      <c r="R13" s="771">
        <f>+meta13!$AL16</f>
        <v>6.59E-2</v>
      </c>
      <c r="S13" s="771">
        <f>+meta14!P16</f>
        <v>6.59E-2</v>
      </c>
      <c r="T13" s="771">
        <f>+meta15!P16</f>
        <v>6.59E-2</v>
      </c>
      <c r="U13" s="771">
        <f>+meta16!P16</f>
        <v>6.3218830695245462E-2</v>
      </c>
      <c r="V13" s="771">
        <f>+meta17!$AA16</f>
        <v>5.4900000000000004E-2</v>
      </c>
      <c r="W13" s="773">
        <f>+meta18!P16</f>
        <v>4.1700000000000001E-2</v>
      </c>
      <c r="X13" s="774">
        <f t="shared" si="0"/>
        <v>0.98223910819143978</v>
      </c>
      <c r="Z13" s="238"/>
      <c r="AA13" s="238"/>
    </row>
  </sheetData>
  <mergeCells count="24">
    <mergeCell ref="V4:V5"/>
    <mergeCell ref="W4:W5"/>
    <mergeCell ref="P4:P5"/>
    <mergeCell ref="Q4:Q5"/>
    <mergeCell ref="R4:R5"/>
    <mergeCell ref="S4:S5"/>
    <mergeCell ref="T4:T5"/>
    <mergeCell ref="U4:U5"/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C1AD-4340-4FFF-9ADF-2FB8B19511D0}">
  <sheetPr codeName="Hoja26">
    <tabColor theme="5" tint="0.39997558519241921"/>
  </sheetPr>
  <dimension ref="A1:JK95"/>
  <sheetViews>
    <sheetView zoomScale="90" zoomScaleNormal="90" workbookViewId="0">
      <pane xSplit="4" ySplit="5" topLeftCell="H6" activePane="bottomRight" state="frozen"/>
      <selection activeCell="M17" sqref="M17"/>
      <selection pane="topRight" activeCell="M17" sqref="M17"/>
      <selection pane="bottomLeft" activeCell="M17" sqref="M17"/>
      <selection pane="bottomRight" activeCell="AM12" sqref="AM12"/>
    </sheetView>
  </sheetViews>
  <sheetFormatPr baseColWidth="10" defaultColWidth="0" defaultRowHeight="12.75" x14ac:dyDescent="0.2"/>
  <cols>
    <col min="1" max="1" width="3.140625" style="246" customWidth="1"/>
    <col min="2" max="2" width="7.140625" style="246" customWidth="1"/>
    <col min="3" max="3" width="29.28515625" style="246" customWidth="1"/>
    <col min="4" max="4" width="1.28515625" style="246" customWidth="1"/>
    <col min="5" max="5" width="3.85546875" style="247" bestFit="1" customWidth="1"/>
    <col min="6" max="10" width="5.7109375" style="247" bestFit="1" customWidth="1"/>
    <col min="11" max="11" width="5.5703125" style="247" bestFit="1" customWidth="1"/>
    <col min="12" max="16" width="4.7109375" style="247" bestFit="1" customWidth="1"/>
    <col min="17" max="17" width="6.85546875" style="247" bestFit="1" customWidth="1"/>
    <col min="18" max="18" width="4.42578125" style="247" customWidth="1"/>
    <col min="19" max="31" width="6.85546875" style="247" customWidth="1"/>
    <col min="32" max="34" width="6.85546875" style="247" hidden="1" customWidth="1"/>
    <col min="35" max="35" width="2.140625" style="247" bestFit="1" customWidth="1"/>
    <col min="36" max="36" width="2.140625" style="247" hidden="1" customWidth="1"/>
    <col min="37" max="37" width="2.140625" style="247" customWidth="1"/>
    <col min="38" max="42" width="5.7109375" style="247" bestFit="1" customWidth="1"/>
    <col min="43" max="43" width="5" style="247" bestFit="1" customWidth="1"/>
    <col min="44" max="44" width="5.7109375" style="247" bestFit="1" customWidth="1"/>
    <col min="45" max="45" width="5" style="247" bestFit="1" customWidth="1"/>
    <col min="46" max="46" width="4.42578125" style="247" bestFit="1" customWidth="1"/>
    <col min="47" max="49" width="5" style="247" bestFit="1" customWidth="1"/>
    <col min="50" max="50" width="6.85546875" style="247" bestFit="1" customWidth="1"/>
    <col min="51" max="51" width="2.140625" style="247" bestFit="1" customWidth="1"/>
    <col min="52" max="57" width="4.5703125" style="247" bestFit="1" customWidth="1"/>
    <col min="58" max="63" width="4.42578125" style="247" bestFit="1" customWidth="1"/>
    <col min="64" max="64" width="5.7109375" style="247" bestFit="1" customWidth="1"/>
    <col min="65" max="65" width="3.42578125" style="247" customWidth="1"/>
    <col min="66" max="71" width="4.5703125" style="247" bestFit="1" customWidth="1"/>
    <col min="72" max="77" width="4.42578125" style="247" bestFit="1" customWidth="1"/>
    <col min="78" max="78" width="5.7109375" style="247" bestFit="1" customWidth="1"/>
    <col min="80" max="80" width="4.5703125" style="247" bestFit="1" customWidth="1"/>
    <col min="81" max="81" width="4.7109375" style="247" bestFit="1" customWidth="1"/>
    <col min="82" max="91" width="4.85546875" style="247" customWidth="1"/>
    <col min="92" max="92" width="5.7109375" style="247" customWidth="1"/>
    <col min="93" max="93" width="1.42578125" style="248" customWidth="1"/>
    <col min="94" max="99" width="5.7109375" style="247" bestFit="1" customWidth="1"/>
    <col min="100" max="101" width="6.42578125" style="247" customWidth="1"/>
    <col min="102" max="102" width="5.140625" style="247" bestFit="1" customWidth="1"/>
    <col min="103" max="103" width="4" style="247" bestFit="1" customWidth="1"/>
    <col min="104" max="105" width="5.5703125" style="247" bestFit="1" customWidth="1"/>
    <col min="106" max="106" width="6.85546875" style="247" bestFit="1" customWidth="1"/>
    <col min="107" max="108" width="4.7109375" style="247" bestFit="1" customWidth="1"/>
    <col min="109" max="109" width="4.7109375" style="247" customWidth="1"/>
    <col min="110" max="110" width="5.28515625" style="247" customWidth="1"/>
    <col min="111" max="112" width="4.42578125" style="247" customWidth="1"/>
    <col min="113" max="113" width="5.7109375" style="247" bestFit="1" customWidth="1"/>
    <col min="114" max="114" width="4.42578125" style="247" customWidth="1"/>
    <col min="115" max="115" width="4.7109375" style="247" bestFit="1" customWidth="1"/>
    <col min="116" max="117" width="4.42578125" style="247" customWidth="1"/>
    <col min="118" max="118" width="4.7109375" style="247" bestFit="1" customWidth="1"/>
    <col min="119" max="119" width="7.28515625" style="247" customWidth="1"/>
    <col min="120" max="213" width="11.42578125" customWidth="1"/>
    <col min="214" max="218" width="1.28515625" style="247" hidden="1" customWidth="1"/>
    <col min="219" max="227" width="0" style="247" hidden="1" customWidth="1"/>
    <col min="228" max="232" width="1.28515625" style="247" hidden="1" customWidth="1"/>
    <col min="233" max="242" width="0" style="247" hidden="1" customWidth="1"/>
    <col min="243" max="247" width="1.28515625" style="247" hidden="1" customWidth="1"/>
    <col min="248" max="257" width="0" style="247" hidden="1" customWidth="1"/>
    <col min="258" max="261" width="1.28515625" style="247" hidden="1" customWidth="1"/>
    <col min="262" max="271" width="0" style="247" hidden="1" customWidth="1"/>
    <col min="272" max="16384" width="1.28515625" style="247" hidden="1"/>
  </cols>
  <sheetData>
    <row r="1" spans="2:214" ht="15.75" customHeight="1" x14ac:dyDescent="0.2">
      <c r="CP1" s="249"/>
      <c r="CQ1" s="249"/>
      <c r="CR1" s="249"/>
      <c r="CS1" s="249"/>
      <c r="CT1" s="249"/>
      <c r="CU1" s="249"/>
    </row>
    <row r="2" spans="2:214" ht="84.75" customHeight="1" x14ac:dyDescent="0.3">
      <c r="C2" s="250" t="str">
        <f>+NOMBRE!B7</f>
        <v>ENERO - OCTUBRE 2024</v>
      </c>
      <c r="E2" s="1030" t="s">
        <v>527</v>
      </c>
      <c r="F2" s="1031"/>
      <c r="G2" s="1031"/>
      <c r="H2" s="1031"/>
      <c r="I2" s="1031"/>
      <c r="J2" s="1031"/>
      <c r="K2" s="1031"/>
      <c r="L2" s="1031"/>
      <c r="M2" s="1031"/>
      <c r="N2" s="1031"/>
      <c r="O2" s="1031"/>
      <c r="P2" s="1031"/>
      <c r="Q2" s="1032"/>
      <c r="R2" s="729"/>
      <c r="S2" s="1030" t="s">
        <v>528</v>
      </c>
      <c r="T2" s="1031"/>
      <c r="U2" s="1031"/>
      <c r="V2" s="1031"/>
      <c r="W2" s="1031"/>
      <c r="X2" s="1031"/>
      <c r="Y2" s="1031"/>
      <c r="Z2" s="1031"/>
      <c r="AA2" s="1031"/>
      <c r="AB2" s="1031"/>
      <c r="AC2" s="1031"/>
      <c r="AD2" s="1031"/>
      <c r="AE2" s="1032"/>
      <c r="AF2" s="729"/>
      <c r="AG2" s="729"/>
      <c r="AH2" s="729"/>
      <c r="AI2" s="251"/>
      <c r="AJ2" s="251"/>
      <c r="AK2" s="251"/>
      <c r="AL2" s="1030" t="s">
        <v>185</v>
      </c>
      <c r="AM2" s="1031"/>
      <c r="AN2" s="1031"/>
      <c r="AO2" s="1031"/>
      <c r="AP2" s="1031"/>
      <c r="AQ2" s="1031"/>
      <c r="AR2" s="1031"/>
      <c r="AS2" s="1031"/>
      <c r="AT2" s="1031"/>
      <c r="AU2" s="1031"/>
      <c r="AV2" s="1031"/>
      <c r="AW2" s="1031"/>
      <c r="AX2" s="1032"/>
      <c r="AY2" s="251"/>
      <c r="AZ2" s="1030" t="s">
        <v>186</v>
      </c>
      <c r="BA2" s="1031"/>
      <c r="BB2" s="1031"/>
      <c r="BC2" s="1031"/>
      <c r="BD2" s="1031"/>
      <c r="BE2" s="1031"/>
      <c r="BF2" s="1031"/>
      <c r="BG2" s="1031"/>
      <c r="BH2" s="1031"/>
      <c r="BI2" s="1031"/>
      <c r="BJ2" s="1031"/>
      <c r="BK2" s="1031"/>
      <c r="BL2" s="1032"/>
      <c r="BM2" s="251"/>
      <c r="BN2" s="1030" t="s">
        <v>187</v>
      </c>
      <c r="BO2" s="1031"/>
      <c r="BP2" s="1031"/>
      <c r="BQ2" s="1031"/>
      <c r="BR2" s="1031"/>
      <c r="BS2" s="1031"/>
      <c r="BT2" s="1031"/>
      <c r="BU2" s="1031"/>
      <c r="BV2" s="1031"/>
      <c r="BW2" s="1031"/>
      <c r="BX2" s="1031"/>
      <c r="BY2" s="1031"/>
      <c r="BZ2" s="1032"/>
      <c r="CB2" s="1030" t="s">
        <v>443</v>
      </c>
      <c r="CC2" s="1031"/>
      <c r="CD2" s="1031"/>
      <c r="CE2" s="1031"/>
      <c r="CF2" s="1031"/>
      <c r="CG2" s="1031"/>
      <c r="CH2" s="1031"/>
      <c r="CI2" s="1031"/>
      <c r="CJ2" s="1031"/>
      <c r="CK2" s="1031"/>
      <c r="CL2" s="1031"/>
      <c r="CM2" s="1031"/>
      <c r="CN2" s="1032"/>
      <c r="CO2" s="251"/>
      <c r="CP2" s="1030" t="s">
        <v>444</v>
      </c>
      <c r="CQ2" s="1031"/>
      <c r="CR2" s="1031"/>
      <c r="CS2" s="1031"/>
      <c r="CT2" s="1031"/>
      <c r="CU2" s="1031"/>
      <c r="CV2" s="1031"/>
      <c r="CW2" s="1031"/>
      <c r="CX2" s="1031"/>
      <c r="CY2" s="1031"/>
      <c r="CZ2" s="1031"/>
      <c r="DA2" s="1031"/>
      <c r="DB2" s="1032"/>
      <c r="DC2" s="1030" t="s">
        <v>445</v>
      </c>
      <c r="DD2" s="1031"/>
      <c r="DE2" s="1031"/>
      <c r="DF2" s="1031"/>
      <c r="DG2" s="1031"/>
      <c r="DH2" s="1031"/>
      <c r="DI2" s="1031"/>
      <c r="DJ2" s="1031"/>
      <c r="DK2" s="1031"/>
      <c r="DL2" s="1031"/>
      <c r="DM2" s="1031"/>
      <c r="DN2" s="1031"/>
      <c r="DO2" s="1032"/>
      <c r="HF2" s="252"/>
    </row>
    <row r="3" spans="2:214" ht="6.75" customHeight="1" x14ac:dyDescent="0.2"/>
    <row r="4" spans="2:214" s="253" customFormat="1" ht="12" x14ac:dyDescent="0.2">
      <c r="E4" s="1029" t="s">
        <v>188</v>
      </c>
      <c r="F4" s="1029"/>
      <c r="G4" s="1029"/>
      <c r="H4" s="1029"/>
      <c r="I4" s="1029"/>
      <c r="J4" s="1029"/>
      <c r="K4" s="1029"/>
      <c r="L4" s="1029"/>
      <c r="M4" s="1029"/>
      <c r="N4" s="1029"/>
      <c r="O4" s="1029"/>
      <c r="P4" s="1029"/>
      <c r="Q4" s="1029"/>
      <c r="R4" s="730"/>
      <c r="S4" s="1029" t="s">
        <v>188</v>
      </c>
      <c r="T4" s="1029"/>
      <c r="U4" s="1029"/>
      <c r="V4" s="1029"/>
      <c r="W4" s="1029"/>
      <c r="X4" s="1029"/>
      <c r="Y4" s="1029"/>
      <c r="Z4" s="1029"/>
      <c r="AA4" s="1029"/>
      <c r="AB4" s="1029"/>
      <c r="AC4" s="1029"/>
      <c r="AD4" s="1029"/>
      <c r="AE4" s="1029"/>
      <c r="AF4" s="730"/>
      <c r="AG4" s="730"/>
      <c r="AH4" s="730"/>
      <c r="AI4" s="254"/>
      <c r="AJ4" s="254"/>
      <c r="AK4" s="254"/>
      <c r="AL4" s="1029" t="s">
        <v>188</v>
      </c>
      <c r="AM4" s="1029"/>
      <c r="AN4" s="1029"/>
      <c r="AO4" s="1029"/>
      <c r="AP4" s="1029"/>
      <c r="AQ4" s="1029"/>
      <c r="AR4" s="1029"/>
      <c r="AS4" s="1029"/>
      <c r="AT4" s="1029"/>
      <c r="AU4" s="1029"/>
      <c r="AV4" s="1029"/>
      <c r="AW4" s="1029"/>
      <c r="AX4" s="1029"/>
      <c r="AY4" s="254"/>
      <c r="AZ4" s="1029" t="s">
        <v>188</v>
      </c>
      <c r="BA4" s="1029"/>
      <c r="BB4" s="1029"/>
      <c r="BC4" s="1029"/>
      <c r="BD4" s="1029"/>
      <c r="BE4" s="1029"/>
      <c r="BF4" s="1029"/>
      <c r="BG4" s="1029"/>
      <c r="BH4" s="1029"/>
      <c r="BI4" s="1029"/>
      <c r="BJ4" s="1029"/>
      <c r="BK4" s="1029"/>
      <c r="BL4" s="1029"/>
      <c r="BM4" s="254"/>
      <c r="BN4" s="1029" t="s">
        <v>188</v>
      </c>
      <c r="BO4" s="1029"/>
      <c r="BP4" s="1029"/>
      <c r="BQ4" s="1029"/>
      <c r="BR4" s="1029"/>
      <c r="BS4" s="1029"/>
      <c r="BT4" s="1029"/>
      <c r="BU4" s="1029"/>
      <c r="BV4" s="1029"/>
      <c r="BW4" s="1029"/>
      <c r="BX4" s="1029"/>
      <c r="BY4" s="1029"/>
      <c r="BZ4" s="1029"/>
      <c r="CB4" s="1029" t="s">
        <v>188</v>
      </c>
      <c r="CC4" s="1029"/>
      <c r="CD4" s="1029"/>
      <c r="CE4" s="1029"/>
      <c r="CF4" s="1029"/>
      <c r="CG4" s="1029"/>
      <c r="CH4" s="1029"/>
      <c r="CI4" s="1029"/>
      <c r="CJ4" s="1029"/>
      <c r="CK4" s="1029"/>
      <c r="CL4" s="1029"/>
      <c r="CM4" s="1029"/>
      <c r="CN4" s="1029"/>
      <c r="CO4" s="255"/>
      <c r="CP4" s="1029" t="s">
        <v>188</v>
      </c>
      <c r="CQ4" s="1029"/>
      <c r="CR4" s="1029"/>
      <c r="CS4" s="1029"/>
      <c r="CT4" s="1029"/>
      <c r="CU4" s="1029"/>
      <c r="CV4" s="1029"/>
      <c r="CW4" s="1029"/>
      <c r="CX4" s="1029"/>
      <c r="CY4" s="1029"/>
      <c r="CZ4" s="1029"/>
      <c r="DA4" s="1029"/>
      <c r="DB4" s="1029"/>
      <c r="DC4" s="1029" t="s">
        <v>188</v>
      </c>
      <c r="DD4" s="1029"/>
      <c r="DE4" s="1029"/>
      <c r="DF4" s="1029"/>
      <c r="DG4" s="1029"/>
      <c r="DH4" s="1029"/>
      <c r="DI4" s="1029"/>
      <c r="DJ4" s="1029"/>
      <c r="DK4" s="1029"/>
      <c r="DL4" s="1029"/>
      <c r="DM4" s="1029"/>
      <c r="DN4" s="1029"/>
      <c r="DO4" s="1029"/>
      <c r="DP4" s="254"/>
    </row>
    <row r="5" spans="2:214" s="256" customFormat="1" ht="12" x14ac:dyDescent="0.2">
      <c r="B5" s="146" t="s">
        <v>93</v>
      </c>
      <c r="C5" s="147" t="s">
        <v>94</v>
      </c>
      <c r="E5" s="257" t="s">
        <v>189</v>
      </c>
      <c r="F5" s="257" t="s">
        <v>190</v>
      </c>
      <c r="G5" s="257" t="s">
        <v>191</v>
      </c>
      <c r="H5" s="257" t="s">
        <v>192</v>
      </c>
      <c r="I5" s="257" t="s">
        <v>193</v>
      </c>
      <c r="J5" s="257" t="s">
        <v>194</v>
      </c>
      <c r="K5" s="257" t="s">
        <v>195</v>
      </c>
      <c r="L5" s="257" t="s">
        <v>196</v>
      </c>
      <c r="M5" s="433" t="s">
        <v>197</v>
      </c>
      <c r="N5" s="433" t="s">
        <v>198</v>
      </c>
      <c r="O5" s="433" t="s">
        <v>199</v>
      </c>
      <c r="P5" s="433" t="s">
        <v>200</v>
      </c>
      <c r="Q5" s="258" t="s">
        <v>201</v>
      </c>
      <c r="R5" s="731"/>
      <c r="S5" s="257" t="s">
        <v>189</v>
      </c>
      <c r="T5" s="257" t="s">
        <v>190</v>
      </c>
      <c r="U5" s="257" t="s">
        <v>191</v>
      </c>
      <c r="V5" s="257" t="s">
        <v>192</v>
      </c>
      <c r="W5" s="257" t="s">
        <v>193</v>
      </c>
      <c r="X5" s="257" t="s">
        <v>194</v>
      </c>
      <c r="Y5" s="257" t="s">
        <v>195</v>
      </c>
      <c r="Z5" s="257" t="s">
        <v>196</v>
      </c>
      <c r="AA5" s="433" t="s">
        <v>197</v>
      </c>
      <c r="AB5" s="433" t="s">
        <v>198</v>
      </c>
      <c r="AC5" s="433" t="s">
        <v>199</v>
      </c>
      <c r="AD5" s="433" t="s">
        <v>200</v>
      </c>
      <c r="AE5" s="258" t="s">
        <v>201</v>
      </c>
      <c r="AF5" s="731"/>
      <c r="AG5" s="731"/>
      <c r="AH5" s="731"/>
      <c r="AI5" s="254"/>
      <c r="AJ5" s="254"/>
      <c r="AK5" s="254"/>
      <c r="AL5" s="257" t="s">
        <v>189</v>
      </c>
      <c r="AM5" s="257" t="s">
        <v>190</v>
      </c>
      <c r="AN5" s="257" t="s">
        <v>191</v>
      </c>
      <c r="AO5" s="257" t="s">
        <v>192</v>
      </c>
      <c r="AP5" s="257" t="s">
        <v>193</v>
      </c>
      <c r="AQ5" s="257" t="s">
        <v>194</v>
      </c>
      <c r="AR5" s="257" t="s">
        <v>195</v>
      </c>
      <c r="AS5" s="257" t="s">
        <v>196</v>
      </c>
      <c r="AT5" s="433" t="s">
        <v>197</v>
      </c>
      <c r="AU5" s="433" t="s">
        <v>198</v>
      </c>
      <c r="AV5" s="433" t="s">
        <v>199</v>
      </c>
      <c r="AW5" s="433" t="s">
        <v>200</v>
      </c>
      <c r="AX5" s="258" t="s">
        <v>201</v>
      </c>
      <c r="AY5" s="254"/>
      <c r="AZ5" s="257" t="s">
        <v>189</v>
      </c>
      <c r="BA5" s="257" t="s">
        <v>190</v>
      </c>
      <c r="BB5" s="257" t="s">
        <v>191</v>
      </c>
      <c r="BC5" s="257" t="s">
        <v>192</v>
      </c>
      <c r="BD5" s="257" t="s">
        <v>193</v>
      </c>
      <c r="BE5" s="257" t="s">
        <v>194</v>
      </c>
      <c r="BF5" s="257" t="s">
        <v>195</v>
      </c>
      <c r="BG5" s="257" t="s">
        <v>196</v>
      </c>
      <c r="BH5" s="433" t="s">
        <v>197</v>
      </c>
      <c r="BI5" s="433" t="s">
        <v>198</v>
      </c>
      <c r="BJ5" s="433" t="s">
        <v>199</v>
      </c>
      <c r="BK5" s="433" t="s">
        <v>200</v>
      </c>
      <c r="BL5" s="258" t="s">
        <v>201</v>
      </c>
      <c r="BM5" s="254"/>
      <c r="BN5" s="257" t="s">
        <v>189</v>
      </c>
      <c r="BO5" s="257" t="s">
        <v>190</v>
      </c>
      <c r="BP5" s="257" t="s">
        <v>191</v>
      </c>
      <c r="BQ5" s="257" t="s">
        <v>192</v>
      </c>
      <c r="BR5" s="257" t="s">
        <v>193</v>
      </c>
      <c r="BS5" s="257" t="s">
        <v>194</v>
      </c>
      <c r="BT5" s="257" t="s">
        <v>195</v>
      </c>
      <c r="BU5" s="257" t="s">
        <v>196</v>
      </c>
      <c r="BV5" s="433" t="s">
        <v>197</v>
      </c>
      <c r="BW5" s="433" t="s">
        <v>198</v>
      </c>
      <c r="BX5" s="433" t="s">
        <v>199</v>
      </c>
      <c r="BY5" s="433" t="s">
        <v>200</v>
      </c>
      <c r="BZ5" s="258" t="s">
        <v>201</v>
      </c>
      <c r="CB5" s="257" t="s">
        <v>189</v>
      </c>
      <c r="CC5" s="257" t="s">
        <v>190</v>
      </c>
      <c r="CD5" s="257" t="s">
        <v>191</v>
      </c>
      <c r="CE5" s="257" t="s">
        <v>192</v>
      </c>
      <c r="CF5" s="257" t="s">
        <v>193</v>
      </c>
      <c r="CG5" s="257" t="s">
        <v>194</v>
      </c>
      <c r="CH5" s="257" t="s">
        <v>195</v>
      </c>
      <c r="CI5" s="257" t="s">
        <v>196</v>
      </c>
      <c r="CJ5" s="433" t="s">
        <v>197</v>
      </c>
      <c r="CK5" s="433" t="s">
        <v>198</v>
      </c>
      <c r="CL5" s="433" t="s">
        <v>199</v>
      </c>
      <c r="CM5" s="433" t="s">
        <v>200</v>
      </c>
      <c r="CN5" s="258" t="s">
        <v>201</v>
      </c>
      <c r="CO5" s="254"/>
      <c r="CP5" s="257" t="s">
        <v>189</v>
      </c>
      <c r="CQ5" s="257" t="s">
        <v>190</v>
      </c>
      <c r="CR5" s="257" t="s">
        <v>191</v>
      </c>
      <c r="CS5" s="257" t="s">
        <v>192</v>
      </c>
      <c r="CT5" s="257" t="s">
        <v>193</v>
      </c>
      <c r="CU5" s="257" t="s">
        <v>194</v>
      </c>
      <c r="CV5" s="257" t="s">
        <v>195</v>
      </c>
      <c r="CW5" s="257" t="s">
        <v>196</v>
      </c>
      <c r="CX5" s="433" t="s">
        <v>197</v>
      </c>
      <c r="CY5" s="433" t="s">
        <v>198</v>
      </c>
      <c r="CZ5" s="433" t="s">
        <v>199</v>
      </c>
      <c r="DA5" s="433" t="s">
        <v>200</v>
      </c>
      <c r="DB5" s="258" t="s">
        <v>201</v>
      </c>
      <c r="DC5" s="257" t="s">
        <v>189</v>
      </c>
      <c r="DD5" s="257" t="s">
        <v>190</v>
      </c>
      <c r="DE5" s="257" t="s">
        <v>191</v>
      </c>
      <c r="DF5" s="257" t="s">
        <v>192</v>
      </c>
      <c r="DG5" s="257" t="s">
        <v>193</v>
      </c>
      <c r="DH5" s="257" t="s">
        <v>194</v>
      </c>
      <c r="DI5" s="257" t="s">
        <v>195</v>
      </c>
      <c r="DJ5" s="257" t="s">
        <v>196</v>
      </c>
      <c r="DK5" s="257" t="s">
        <v>197</v>
      </c>
      <c r="DL5" s="257" t="s">
        <v>198</v>
      </c>
      <c r="DM5" s="257" t="s">
        <v>199</v>
      </c>
      <c r="DN5" s="257" t="s">
        <v>200</v>
      </c>
      <c r="DO5" s="258" t="s">
        <v>201</v>
      </c>
      <c r="DP5" s="254"/>
    </row>
    <row r="6" spans="2:214" s="256" customFormat="1" ht="12" x14ac:dyDescent="0.2">
      <c r="B6" s="261">
        <v>107307</v>
      </c>
      <c r="C6" s="149" t="s">
        <v>95</v>
      </c>
      <c r="E6" s="792">
        <f>SUM([2]A02!$H$21,[2]A02!$J$21,[2]A02!$L$21,[2]A02!$N$21,[2]A02!$P$21,[2]A02!$R$21,[2]A02!$T$21,[2]A02!$V$21,[2]A02!$X$21)</f>
        <v>55</v>
      </c>
      <c r="F6" s="792">
        <f>SUM([3]A02!$H$21,[3]A02!$J$21,[3]A02!$L$21,[3]A02!$N$21,[3]A02!$P$21,[3]A02!$R$21,[3]A02!$T$21,[3]A02!$V$21,[3]A02!$X$21)</f>
        <v>19</v>
      </c>
      <c r="G6" s="792">
        <f>SUM([4]A02!$H$21,[4]A02!$J$21,[4]A02!$L$21,[4]A02!$N$21,[4]A02!$P$21,[4]A02!$R$21,[4]A02!$T$21,[4]A02!$V$21,[4]A02!$X$21)</f>
        <v>26</v>
      </c>
      <c r="H6" s="792">
        <f>SUM([5]A02!$H$21,[5]A02!$J$21,[5]A02!$L$21,[5]A02!$N$21,[5]A02!$P$21,[5]A02!$R$21,[5]A02!$T$21,[5]A02!$V$21,[5]A02!$X$21)</f>
        <v>56</v>
      </c>
      <c r="I6" s="792">
        <f>SUM([6]A02!$H$21,[6]A02!$J$21,[6]A02!$L$21,[6]A02!$N$21,[6]A02!$P$21,[6]A02!$R$21,[6]A02!$T$21,[6]A02!$V$21,[6]A02!$X$21)</f>
        <v>102</v>
      </c>
      <c r="J6" s="792">
        <f>SUM([7]A02!$H$21,[7]A02!$J$21,[7]A02!$L$21,[7]A02!$N$21,[7]A02!$P$21,[7]A02!$R$21,[7]A02!$T$21,[7]A02!$V$21,[7]A02!$X$21)</f>
        <v>110</v>
      </c>
      <c r="K6" s="792">
        <f>SUM([8]A02!$H$21,[8]A02!$J$21,[8]A02!$L$21,[8]A02!$N$21,[8]A02!$P$21,[8]A02!$R$21,[8]A02!$T$21,[8]A02!$V$21,[8]A02!$X$21)</f>
        <v>99</v>
      </c>
      <c r="L6" s="792">
        <f>SUM([9]A02!$H$21,[9]A02!$J$21,[9]A02!$L$21,[9]A02!$N$21,[9]A02!$P$21,[9]A02!$R$21,[9]A02!$T$21,[9]A02!$V$21,[9]A02!$X$21)</f>
        <v>24</v>
      </c>
      <c r="M6" s="792">
        <f>SUM([10]A02!$H$21,[10]A02!$J$21,[10]A02!$L$21,[10]A02!$N$21,[10]A02!$P$21,[10]A02!$R$21,[10]A02!$T$21,[10]A02!$V$21,[10]A02!$X$21)</f>
        <v>43</v>
      </c>
      <c r="N6" s="792">
        <f>SUM([11]A02!$H$21,[11]A02!$J$21,[11]A02!$L$21,[11]A02!$N$21,[11]A02!$P$21,[11]A02!$R$21,[11]A02!$T$21,[11]A02!$V$21,[11]A02!$X$21)</f>
        <v>154</v>
      </c>
      <c r="O6" s="792">
        <f>SUM([12]A02!$H$21,[12]A02!$J$21,[12]A02!$L$21,[12]A02!$N$21,[12]A02!$P$21,[12]A02!$R$21,[12]A02!$T$21,[12]A02!$V$21,[12]A02!$X$21)</f>
        <v>0</v>
      </c>
      <c r="P6" s="792">
        <f>SUM([13]A02!$H$21,[13]A02!$J$21,[13]A02!$L$21,[13]A02!$N$21,[13]A02!$P$21,[13]A02!$R$21,[13]A02!$T$21,[13]A02!$V$21,[13]A02!$X$21)</f>
        <v>0</v>
      </c>
      <c r="Q6" s="260">
        <f>SUM(E6:P6)</f>
        <v>688</v>
      </c>
      <c r="R6" s="732"/>
      <c r="S6" s="608">
        <f>SUM([2]A02!$G$21,[2]A02!$I$21,[2]A02!$K$21,[2]A02!$M$21,[2]A02!$O$21,[2]A02!$Q$21,[2]A02!$S$21,[2]A02!$U$21,[2]A02!$W$21)</f>
        <v>21</v>
      </c>
      <c r="T6" s="608">
        <f>SUM([3]A02!$G$21,[3]A02!$I$21,[3]A02!$K$21,[3]A02!$M$21,[3]A02!$O$21,[3]A02!$Q$21,[3]A02!$S$21,[3]A02!$U$21,[3]A02!$W$21)</f>
        <v>24</v>
      </c>
      <c r="U6" s="608">
        <f>SUM([4]A02!$G$21,[4]A02!$I$21,[4]A02!$K$21,[4]A02!$M$21,[4]A02!$O$21,[4]A02!$Q$21,[4]A02!$S$21,[4]A02!$U$21,[4]A02!$W$21)</f>
        <v>15</v>
      </c>
      <c r="V6" s="608">
        <f>SUM([5]A02!$G$21,[5]A02!$I$21,[5]A02!$K$21,[5]A02!$M$21,[5]A02!$O$21,[5]A02!$Q$21,[5]A02!$S$21,[5]A02!$U$21,[5]A02!$W$21)</f>
        <v>23</v>
      </c>
      <c r="W6" s="608">
        <f>SUM([6]A02!$G$21,[6]A02!$I$21,[6]A02!$K$21,[6]A02!$M$21,[6]A02!$O$21,[6]A02!$Q$21,[6]A02!$S$21,[6]A02!$U$21,[6]A02!$W$21)</f>
        <v>28</v>
      </c>
      <c r="X6" s="608">
        <f>SUM([7]A02!$G$21,[7]A02!$I$21,[7]A02!$K$21,[7]A02!$M$21,[7]A02!$O$21,[7]A02!$Q$21,[7]A02!$S$21,[7]A02!$U$21,[7]A02!$W$21)</f>
        <v>26</v>
      </c>
      <c r="Y6" s="608">
        <f>SUM([8]A02!$G$21,[8]A02!$I$21,[8]A02!$K$21,[8]A02!$M$21,[8]A02!$O$21,[8]A02!$Q$21,[8]A02!$S$21,[8]A02!$U$21,[8]A02!$W$21)</f>
        <v>38</v>
      </c>
      <c r="Z6" s="608">
        <f>SUM([9]A02!$G$21,[9]A02!$I$21,[9]A02!$K$21,[9]A02!$M$21,[9]A02!$O$21,[9]A02!$Q$21,[9]A02!$S$21,[9]A02!$U$21,[9]A02!$W$21)</f>
        <v>12</v>
      </c>
      <c r="AA6" s="608">
        <f>SUM([10]A02!$G$21,[10]A02!$I$21,[10]A02!$K$21,[10]A02!$M$21,[10]A02!$O$21,[10]A02!$Q$21,[10]A02!$S$21,[10]A02!$U$21,[10]A02!$W$21)</f>
        <v>14</v>
      </c>
      <c r="AB6" s="608">
        <f>SUM([11]A02!$G$21,[11]A02!$I$21,[11]A02!$K$21,[11]A02!$M$21,[11]A02!$O$21,[11]A02!$Q$21,[11]A02!$S$21,[11]A02!$U$21,[11]A02!$W$21)</f>
        <v>85</v>
      </c>
      <c r="AC6" s="608">
        <f>SUM([12]A02!$G$21,[12]A02!$I$21,[12]A02!$K$21,[12]A02!$M$21,[12]A02!$O$21,[12]A02!$Q$21,[12]A02!$S$21,[12]A02!$U$21,[12]A02!$W$21)</f>
        <v>0</v>
      </c>
      <c r="AD6" s="608">
        <f>SUM([13]A02!$G$21,[13]A02!$I$21,[13]A02!$K$21,[13]A02!$M$21,[13]A02!$O$21,[13]A02!$Q$21,[13]A02!$S$21,[13]A02!$U$21,[13]A02!$W$21)</f>
        <v>0</v>
      </c>
      <c r="AE6" s="260">
        <f>SUM(S6:AD6)</f>
        <v>286</v>
      </c>
      <c r="AF6" s="732"/>
      <c r="AG6" s="732"/>
      <c r="AH6" s="732"/>
      <c r="AI6" s="254"/>
      <c r="AJ6" s="254"/>
      <c r="AK6" s="254"/>
      <c r="AL6" s="608">
        <f>SUM([2]A02!$Y$21:$AF$21)</f>
        <v>264</v>
      </c>
      <c r="AM6" s="608">
        <f>SUM([3]A02!$Y$21:$AF$21)</f>
        <v>151</v>
      </c>
      <c r="AN6" s="608">
        <f>SUM([4]A02!$Y$21:$AF$21)</f>
        <v>129</v>
      </c>
      <c r="AO6" s="608">
        <f>SUM([5]A02!$Y$21:$AF$21)</f>
        <v>249</v>
      </c>
      <c r="AP6" s="608">
        <f>SUM([6]A02!$Y$21:$AF$21)</f>
        <v>200</v>
      </c>
      <c r="AQ6" s="608">
        <f>SUM([7]A02!$Y$21:$AF$21)</f>
        <v>213</v>
      </c>
      <c r="AR6" s="608">
        <f>SUM([8]A02!$Y$21:$AF$21)</f>
        <v>284</v>
      </c>
      <c r="AS6" s="608">
        <f>SUM([9]A02!$Y$21:$AF$21)</f>
        <v>210</v>
      </c>
      <c r="AT6" s="608">
        <f>SUM([10]A02!$Y$21:$AF$21)</f>
        <v>252</v>
      </c>
      <c r="AU6" s="608">
        <f>SUM([11]A02!$Y$21:$AF$21)</f>
        <v>281</v>
      </c>
      <c r="AV6" s="608">
        <f>SUM([12]A02!$Y$21:$AF$21)</f>
        <v>0</v>
      </c>
      <c r="AW6" s="608">
        <f>SUM([13]A02!$Y$21:$AF$21)</f>
        <v>0</v>
      </c>
      <c r="AX6" s="260">
        <f>SUM(AL6:AW6)</f>
        <v>2233</v>
      </c>
      <c r="AY6" s="254"/>
      <c r="AZ6" s="792">
        <f>[2]A05!$C$13</f>
        <v>15</v>
      </c>
      <c r="BA6" s="608">
        <f>[3]A05!$C$13</f>
        <v>28</v>
      </c>
      <c r="BB6" s="608">
        <f>[4]A05!$C$13</f>
        <v>18</v>
      </c>
      <c r="BC6" s="608">
        <f>[5]A05!$C$13</f>
        <v>25</v>
      </c>
      <c r="BD6" s="608">
        <f>[6]A05!$C$13</f>
        <v>19</v>
      </c>
      <c r="BE6" s="608">
        <f>[7]A05!$C$13</f>
        <v>18</v>
      </c>
      <c r="BF6" s="608">
        <f>[8]A05!$C$13</f>
        <v>19</v>
      </c>
      <c r="BG6" s="608">
        <f>[9]A05!$C$13</f>
        <v>12</v>
      </c>
      <c r="BH6" s="608">
        <f>[10]A05!$C$13</f>
        <v>27</v>
      </c>
      <c r="BI6" s="608">
        <f>[11]A05!$C$13</f>
        <v>19</v>
      </c>
      <c r="BJ6" s="608">
        <f>SUM([12]A02!$Y$21:$AF$21)</f>
        <v>0</v>
      </c>
      <c r="BK6" s="608">
        <f>SUM([13]A02!$Y$21:$AF$21)</f>
        <v>0</v>
      </c>
      <c r="BL6" s="260">
        <f>SUM(AZ6:BK6)</f>
        <v>200</v>
      </c>
      <c r="BM6" s="254"/>
      <c r="BN6" s="608">
        <f>[2]A05!$C$11</f>
        <v>17</v>
      </c>
      <c r="BO6" s="608">
        <f>[3]A05!$C$11</f>
        <v>29</v>
      </c>
      <c r="BP6" s="608">
        <f>[4]A05!$C$11</f>
        <v>18</v>
      </c>
      <c r="BQ6" s="608">
        <f>[5]A05!$C$11</f>
        <v>26</v>
      </c>
      <c r="BR6" s="608">
        <f>[6]A05!$C$11</f>
        <v>20</v>
      </c>
      <c r="BS6" s="608">
        <f>[7]A05!$C$11</f>
        <v>19</v>
      </c>
      <c r="BT6" s="608">
        <f>[8]A05!$C$11</f>
        <v>19</v>
      </c>
      <c r="BU6" s="608">
        <f>[9]A05!$C$11</f>
        <v>14</v>
      </c>
      <c r="BV6" s="608">
        <f>[10]A05!$C$11</f>
        <v>28</v>
      </c>
      <c r="BW6" s="608">
        <f>[11]A05!$C$11</f>
        <v>22</v>
      </c>
      <c r="BX6" s="608">
        <f>[12]A05!$C$11</f>
        <v>0</v>
      </c>
      <c r="BY6" s="608">
        <f>[12]A05!$C$11</f>
        <v>0</v>
      </c>
      <c r="BZ6" s="260">
        <f>SUM(BN6:BY6)</f>
        <v>212</v>
      </c>
      <c r="CB6" s="608">
        <f>SUM([2]A03!$J$21:$M$24)</f>
        <v>22</v>
      </c>
      <c r="CC6" s="608">
        <f>SUM([3]A03!$J$21:$M$24)</f>
        <v>25</v>
      </c>
      <c r="CD6" s="608">
        <f>SUM([4]A03!$J$21:$M$24)</f>
        <v>17</v>
      </c>
      <c r="CE6" s="608">
        <f>SUM([5]A03!$J$21:$M$24)</f>
        <v>17</v>
      </c>
      <c r="CF6" s="608">
        <f>SUM([6]A03!$J$21:$M$24)</f>
        <v>10</v>
      </c>
      <c r="CG6" s="608">
        <f>SUM([7]A03!$J$21:$M$24)</f>
        <v>17</v>
      </c>
      <c r="CH6" s="608">
        <f>SUM([8]A03!$J$21:$M$24)</f>
        <v>18</v>
      </c>
      <c r="CI6" s="608">
        <f>SUM([9]A03!$J$21:$M$24)</f>
        <v>25</v>
      </c>
      <c r="CJ6" s="608">
        <f>SUM([10]A03!$J$21:$M$24)</f>
        <v>25</v>
      </c>
      <c r="CK6" s="608">
        <f>SUM([11]A03!$J$21:$M$24)</f>
        <v>17</v>
      </c>
      <c r="CL6" s="608">
        <f>SUM([12]A03!$J$21:$M$24)</f>
        <v>0</v>
      </c>
      <c r="CM6" s="608">
        <f>SUM([13]A03!$J$21:$M$24)</f>
        <v>0</v>
      </c>
      <c r="CN6" s="260">
        <f>SUM(CB6:CM6)</f>
        <v>193</v>
      </c>
      <c r="CO6" s="254"/>
      <c r="CP6" s="608">
        <f>SUM([2]A26!$C$10:$C$35,[2]A26!$C$40:$E$41,[2]A33!$B$44)</f>
        <v>151</v>
      </c>
      <c r="CQ6" s="608">
        <f>SUM([3]A26!$C$10:$C$35,[3]A26!$C$40:$E$41,[3]A33!$B$44)</f>
        <v>90</v>
      </c>
      <c r="CR6" s="608">
        <f>SUM([4]A26!$C$10:$C$35,[4]A26!$C$40:$E$41,[4]A33!$B$44)</f>
        <v>142</v>
      </c>
      <c r="CS6" s="608">
        <f>SUM([5]A26!$C$10:$C$35,[5]A26!$C$40:$E$41,[5]A33!$B$44)</f>
        <v>126</v>
      </c>
      <c r="CT6" s="608">
        <f>SUM([6]A26!$C$10:$C$35,[6]A26!$C$40:$E$41,[6]A33!$B$44)</f>
        <v>130</v>
      </c>
      <c r="CU6" s="608">
        <f>SUM([7]A26!$C$10:$C$35,[7]A26!$C$40:$E$41,[7]A33!$B$44)</f>
        <v>124</v>
      </c>
      <c r="CV6" s="608">
        <f>SUM([8]A26!$C$10:$C$35,[8]A26!$C$40:$E$41,[8]A33!$B$44)</f>
        <v>149</v>
      </c>
      <c r="CW6" s="608">
        <f>SUM([9]A26!$C$10:$C$35,[9]A26!$C$40:$E$41,[9]A33!$B$44)</f>
        <v>79</v>
      </c>
      <c r="CX6" s="608">
        <f>SUM([10]A26!$C$10:$C$35,[10]A26!$C$40:$E$41,[10]A33!$B$44)</f>
        <v>94</v>
      </c>
      <c r="CY6" s="608">
        <f>SUM([11]A26!$C$10:$C$35,[11]A26!$C$40:$E$41,[11]A33!$B$44)</f>
        <v>118</v>
      </c>
      <c r="CZ6" s="608">
        <f>SUM([12]A26!$C$10:$C$35,[12]A26!$C$40:$E$41,[12]A33!$B$44)</f>
        <v>0</v>
      </c>
      <c r="DA6" s="608">
        <f>SUM([13]A26!$C$10:$C$35,[13]A26!$C$40:$E$41,[13]A33!$B$44)</f>
        <v>0</v>
      </c>
      <c r="DB6" s="260">
        <f>SUM(CP6:DA6)</f>
        <v>1203</v>
      </c>
      <c r="DC6" s="608">
        <f>SUM([2]A01!$C$74,[2]A01!$F$74,[2]A32!$B$186:$B$187,[2]A32!$E$186:$E$187)</f>
        <v>0</v>
      </c>
      <c r="DD6" s="608">
        <f>SUM([3]A01!$C$74,[3]A01!$F$74,[3]A32!$B$186:$B$187,[3]A32!$E$186:$E$187)</f>
        <v>62</v>
      </c>
      <c r="DE6" s="608">
        <f>SUM([4]A01!$C$74,[4]A01!$F$74,[4]A32!$B$186:$B$187,[4]A32!$E$186:$E$187)</f>
        <v>29</v>
      </c>
      <c r="DF6" s="608">
        <f>SUM([5]A01!$C$74,[5]A01!$F$74,[5]A32!$B$186:$B$187,[5]A32!$E$186:$E$187)</f>
        <v>47</v>
      </c>
      <c r="DG6" s="608">
        <f>SUM([6]A01!$C$74,[6]A01!$F$74,[6]A32!$B$186:$B$187,[6]A32!$E$186:$E$187)</f>
        <v>47</v>
      </c>
      <c r="DH6" s="608">
        <f>SUM([7]A01!$C$74,[7]A01!$F$74,[7]A32!$B$186:$B$187,[7]A32!$E$186:$E$187)</f>
        <v>23</v>
      </c>
      <c r="DI6" s="608">
        <f>SUM([8]A01!$C$74,[8]A01!$F$74,[8]A32!$B$186:$B$187,[8]A32!$E$186:$E$187)</f>
        <v>23</v>
      </c>
      <c r="DJ6" s="608">
        <f>SUM([9]A01!$C$74,[9]A01!$F$74,[9]A32!$B$186:$B$187,[9]A32!$E$186:$E$187)</f>
        <v>21</v>
      </c>
      <c r="DK6" s="608">
        <f>SUM([10]A01!$C$74,[10]A01!$F$74,[10]A32!$B$186:$B$187,[10]A32!$E$186:$E$187)</f>
        <v>23</v>
      </c>
      <c r="DL6" s="608">
        <f>SUM([11]A01!$C$74,[11]A01!$F$74,[11]A32!$B$186:$B$187,[11]A32!$E$186:$E$187)</f>
        <v>40</v>
      </c>
      <c r="DM6" s="608">
        <f>SUM([12]A01!$C$74,[12]A01!$F$74,[12]A32!$B$186:$B$187,[12]A32!$E$186:$E$187)</f>
        <v>0</v>
      </c>
      <c r="DN6" s="608">
        <f>SUM([13]A01!$C$74,[13]A01!$F$74,[13]A32!$B$186:$B$187,[13]A32!$E$186:$E$187)</f>
        <v>0</v>
      </c>
      <c r="DO6" s="260">
        <f>SUM(DC6:DN6)</f>
        <v>315</v>
      </c>
      <c r="DP6" s="254"/>
    </row>
    <row r="7" spans="2:214" s="256" customFormat="1" ht="12" x14ac:dyDescent="0.2">
      <c r="B7" s="261">
        <v>107308</v>
      </c>
      <c r="C7" s="149" t="s">
        <v>96</v>
      </c>
      <c r="E7" s="792">
        <f>SUM([14]A02!$H$21,[14]A02!$J$21,[14]A02!$L$21,[14]A02!$N$21,[14]A02!$P$21,[14]A02!$R$21,[14]A02!$T$21,[14]A02!$V$21,[14]A02!$X$21)</f>
        <v>52</v>
      </c>
      <c r="F7" s="792">
        <f>SUM([15]A02!$H$21,[15]A02!$J$21,[15]A02!$L$21,[15]A02!$N$21,[15]A02!$P$21,[15]A02!$R$21,[15]A02!$T$21,[15]A02!$V$21,[15]A02!$X$21)</f>
        <v>28</v>
      </c>
      <c r="G7" s="792">
        <f>SUM([16]A02!$H$21,[16]A02!$J$21,[16]A02!$L$21,[16]A02!$N$21,[16]A02!$P$21,[16]A02!$R$21,[16]A02!$T$21,[16]A02!$V$21,[16]A02!$X$21)</f>
        <v>23</v>
      </c>
      <c r="H7" s="792">
        <f>SUM([17]A02!$H$21,[17]A02!$J$21,[17]A02!$L$21,[17]A02!$N$21,[17]A02!$P$21,[17]A02!$R$21,[17]A02!$T$21,[17]A02!$V$21,[17]A02!$X$21)</f>
        <v>104</v>
      </c>
      <c r="I7" s="792">
        <f>SUM([18]A02!$H$21,[18]A02!$J$21,[18]A02!$L$21,[18]A02!$N$21,[18]A02!$P$21,[18]A02!$R$21,[18]A02!$T$21,[18]A02!$V$21,[18]A02!$X$21)</f>
        <v>72</v>
      </c>
      <c r="J7" s="792">
        <f>SUM([19]A02!$H$21,[19]A02!$J$21,[19]A02!$L$21,[19]A02!$N$21,[19]A02!$P$21,[19]A02!$R$21,[19]A02!$T$21,[19]A02!$V$21,[19]A02!$X$21)</f>
        <v>51</v>
      </c>
      <c r="K7" s="792">
        <f>SUM([20]A02!$H$21,[20]A02!$J$21,[20]A02!$L$21,[20]A02!$N$21,[20]A02!$P$21,[20]A02!$R$21,[20]A02!$T$21,[20]A02!$V$21,[20]A02!$X$21)</f>
        <v>139</v>
      </c>
      <c r="L7" s="792">
        <f>SUM([21]A02!$H$21,[21]A02!$J$21,[21]A02!$L$21,[21]A02!$N$21,[21]A02!$P$21,[21]A02!$R$21,[21]A02!$T$21,[21]A02!$V$21,[21]A02!$X$21)</f>
        <v>164</v>
      </c>
      <c r="M7" s="792">
        <f>SUM([22]A02!$H$21,[22]A02!$J$21,[22]A02!$L$21,[22]A02!$N$21,[22]A02!$P$21,[22]A02!$R$21,[22]A02!$T$21,[22]A02!$V$21,[22]A02!$X$21)</f>
        <v>107</v>
      </c>
      <c r="N7" s="792">
        <f>SUM([23]A02!$H$21,[23]A02!$J$21,[23]A02!$L$21,[23]A02!$N$21,[23]A02!$P$21,[23]A02!$R$21,[23]A02!$T$21,[23]A02!$V$21,[23]A02!$X$21)</f>
        <v>71</v>
      </c>
      <c r="O7" s="792">
        <f>SUM([24]A02!$H$21,[24]A02!$J$21,[24]A02!$L$21,[24]A02!$N$21,[24]A02!$P$21,[24]A02!$R$21,[24]A02!$T$21,[24]A02!$V$21,[24]A02!$X$21)</f>
        <v>0</v>
      </c>
      <c r="P7" s="792">
        <f>SUM([25]A02!$H$21,[25]A02!$J$21,[25]A02!$L$21,[25]A02!$N$21,[25]A02!$P$21,[25]A02!$R$21,[25]A02!$T$21,[25]A02!$V$21,[25]A02!$X$21)</f>
        <v>0</v>
      </c>
      <c r="Q7" s="260">
        <f t="shared" ref="Q7:Q12" si="0">SUM(E7:P7)</f>
        <v>811</v>
      </c>
      <c r="R7" s="732"/>
      <c r="S7" s="608">
        <f>SUM([14]A02!$G$21,[14]A02!$I$21,[14]A02!$K$21,[14]A02!$M$21,[14]A02!$O$21,[14]A02!$Q$21,[14]A02!$S$21,[14]A02!$U$21,[14]A02!$W$21)</f>
        <v>26</v>
      </c>
      <c r="T7" s="608">
        <f>SUM([15]A02!$G$21,[15]A02!$I$21,[15]A02!$K$21,[15]A02!$M$21,[15]A02!$O$21,[15]A02!$Q$21,[15]A02!$S$21,[15]A02!$U$21,[15]A02!$W$21)</f>
        <v>2</v>
      </c>
      <c r="U7" s="608">
        <f>SUM([16]A02!$G$21,[16]A02!$I$21,[16]A02!$K$21,[16]A02!$M$21,[16]A02!$O$21,[16]A02!$Q$21,[16]A02!$S$21,[16]A02!$U$21,[16]A02!$W$21)</f>
        <v>10</v>
      </c>
      <c r="V7" s="608">
        <f>SUM([17]A02!$G$21,[17]A02!$I$21,[17]A02!$K$21,[17]A02!$M$21,[17]A02!$O$21,[17]A02!$Q$21,[17]A02!$S$21,[17]A02!$U$21,[17]A02!$W$21)</f>
        <v>33</v>
      </c>
      <c r="W7" s="608">
        <f>SUM([18]A02!$G$21,[18]A02!$I$21,[18]A02!$K$21,[18]A02!$M$21,[18]A02!$O$21,[18]A02!$Q$21,[18]A02!$S$21,[18]A02!$U$21,[18]A02!$W$21)</f>
        <v>19</v>
      </c>
      <c r="X7" s="608">
        <f>SUM([19]A02!$G$21,[19]A02!$I$21,[19]A02!$K$21,[19]A02!$M$21,[19]A02!$O$21,[19]A02!$Q$21,[19]A02!$S$21,[19]A02!$U$21,[19]A02!$W$21)</f>
        <v>17</v>
      </c>
      <c r="Y7" s="608">
        <f>SUM([20]A02!$G$21,[20]A02!$I$21,[20]A02!$K$21,[20]A02!$M$21,[20]A02!$O$21,[20]A02!$Q$21,[20]A02!$S$21,[20]A02!$U$21,[20]A02!$W$21)</f>
        <v>99</v>
      </c>
      <c r="Z7" s="608">
        <f>SUM([21]A02!$G$21,[21]A02!$I$21,[21]A02!$K$21,[21]A02!$M$21,[21]A02!$O$21,[21]A02!$Q$21,[21]A02!$S$21,[21]A02!$U$21,[21]A02!$W$21)</f>
        <v>64</v>
      </c>
      <c r="AA7" s="608">
        <f>SUM([22]A02!$G$21,[22]A02!$I$21,[22]A02!$K$21,[22]A02!$M$21,[22]A02!$O$21,[22]A02!$Q$21,[22]A02!$S$21,[22]A02!$U$21,[22]A02!$W$21)</f>
        <v>47</v>
      </c>
      <c r="AB7" s="608">
        <f>SUM([23]A02!$G$21,[23]A02!$I$21,[23]A02!$K$21,[23]A02!$M$21,[23]A02!$O$21,[23]A02!$Q$21,[23]A02!$S$21,[23]A02!$U$21,[23]A02!$W$21)</f>
        <v>33</v>
      </c>
      <c r="AC7" s="608">
        <f>SUM([24]A02!$G$21,[24]A02!$I$21,[24]A02!$K$21,[24]A02!$M$21,[24]A02!$O$21,[24]A02!$Q$21,[24]A02!$S$21,[24]A02!$U$21,[24]A02!$W$21)</f>
        <v>0</v>
      </c>
      <c r="AD7" s="608">
        <f>SUM([25]A02!$G$21,[25]A02!$I$21,[25]A02!$K$21,[25]A02!$M$21,[25]A02!$O$21,[25]A02!$Q$21,[25]A02!$S$21,[25]A02!$U$21,[25]A02!$W$21)</f>
        <v>0</v>
      </c>
      <c r="AE7" s="260">
        <f t="shared" ref="AE7:AE12" si="1">SUM(S7:AD7)</f>
        <v>350</v>
      </c>
      <c r="AF7" s="732"/>
      <c r="AG7" s="732"/>
      <c r="AH7" s="732"/>
      <c r="AI7" s="254"/>
      <c r="AJ7" s="254"/>
      <c r="AK7" s="254"/>
      <c r="AL7" s="608">
        <f>SUM([14]A02!$Y$21:$AF$21)</f>
        <v>102</v>
      </c>
      <c r="AM7" s="608">
        <f>SUM([15]A02!$Y$21:$AF$21)</f>
        <v>47</v>
      </c>
      <c r="AN7" s="608">
        <f>SUM([16]A02!$Y$21:$AF$21)</f>
        <v>53</v>
      </c>
      <c r="AO7" s="608">
        <f>SUM([17]A02!$Y$21:$AF$21)</f>
        <v>111</v>
      </c>
      <c r="AP7" s="608">
        <f>SUM([18]A02!$Y$21:$AF$21)</f>
        <v>130</v>
      </c>
      <c r="AQ7" s="608">
        <f>SUM([19]A02!$Y$21:$AF$21)</f>
        <v>106</v>
      </c>
      <c r="AR7" s="608">
        <f>SUM([20]A02!$Y$21:$AF$21)</f>
        <v>158</v>
      </c>
      <c r="AS7" s="608">
        <f>SUM([21]A02!$Y$21:$AF$21)</f>
        <v>156</v>
      </c>
      <c r="AT7" s="608">
        <f>SUM([22]A02!$Y$21:$AF$21)</f>
        <v>140</v>
      </c>
      <c r="AU7" s="608">
        <f>SUM([23]A02!$Y$21:$AF$21)</f>
        <v>203</v>
      </c>
      <c r="AV7" s="608">
        <f>SUM([24]A02!$Y$21:$AF$21)</f>
        <v>0</v>
      </c>
      <c r="AW7" s="608">
        <f>SUM([25]A02!$Y$21:$AF$21)</f>
        <v>0</v>
      </c>
      <c r="AX7" s="260">
        <f t="shared" ref="AX7:AX12" si="2">SUM(AL7:AW7)</f>
        <v>1206</v>
      </c>
      <c r="AY7" s="254"/>
      <c r="AZ7" s="608">
        <f>[14]A05!$C$13</f>
        <v>21</v>
      </c>
      <c r="BA7" s="608">
        <f>[15]A05!$C$13</f>
        <v>10</v>
      </c>
      <c r="BB7" s="608">
        <f>[16]A05!$C$13</f>
        <v>18</v>
      </c>
      <c r="BC7" s="608">
        <f>[17]A05!$C$13</f>
        <v>13</v>
      </c>
      <c r="BD7" s="608">
        <f>[18]A05!$C$13</f>
        <v>9</v>
      </c>
      <c r="BE7" s="608">
        <f>[19]A05!$C$13</f>
        <v>18</v>
      </c>
      <c r="BF7" s="608">
        <f>[20]A05!$C$13</f>
        <v>21</v>
      </c>
      <c r="BG7" s="608">
        <f>[21]A05!$C$13</f>
        <v>15</v>
      </c>
      <c r="BH7" s="608">
        <f>[22]A05!$C$13</f>
        <v>14</v>
      </c>
      <c r="BI7" s="608">
        <f>[23]A05!$C$13</f>
        <v>17</v>
      </c>
      <c r="BJ7" s="608">
        <f>SUM([24]A02!$Y$21:$AF$21)</f>
        <v>0</v>
      </c>
      <c r="BK7" s="608">
        <f>SUM([25]A02!$Y$21:$AF$21)</f>
        <v>0</v>
      </c>
      <c r="BL7" s="260">
        <f t="shared" ref="BL7:BL12" si="3">SUM(AZ7:BK7)</f>
        <v>156</v>
      </c>
      <c r="BM7" s="254"/>
      <c r="BN7" s="608">
        <f>[14]A05!$C$11</f>
        <v>21</v>
      </c>
      <c r="BO7" s="608">
        <f>[15]A05!$C$11</f>
        <v>12</v>
      </c>
      <c r="BP7" s="608">
        <f>[16]A05!$C$11</f>
        <v>18</v>
      </c>
      <c r="BQ7" s="608">
        <f>[17]A05!$C$11</f>
        <v>15</v>
      </c>
      <c r="BR7" s="608">
        <f>[18]A05!$C$11</f>
        <v>13</v>
      </c>
      <c r="BS7" s="608">
        <f>[19]A05!$C$11</f>
        <v>19</v>
      </c>
      <c r="BT7" s="608">
        <f>[20]A05!$C$11</f>
        <v>22</v>
      </c>
      <c r="BU7" s="608">
        <f>[21]A05!$C$11</f>
        <v>16</v>
      </c>
      <c r="BV7" s="608">
        <f>[22]A05!$C$11</f>
        <v>14</v>
      </c>
      <c r="BW7" s="608">
        <f>[23]A05!$C$11</f>
        <v>17</v>
      </c>
      <c r="BX7" s="608">
        <f>[24]A05!$C$11</f>
        <v>0</v>
      </c>
      <c r="BY7" s="608">
        <f>[24]A05!$C$11</f>
        <v>0</v>
      </c>
      <c r="BZ7" s="260">
        <f t="shared" ref="BZ7:BZ12" si="4">SUM(BN7:BY7)</f>
        <v>167</v>
      </c>
      <c r="CB7" s="608">
        <f>SUM([14]A03!$J$21:$M$24)</f>
        <v>11</v>
      </c>
      <c r="CC7" s="608">
        <f>SUM([15]A03!$J$21:$M$24)</f>
        <v>4</v>
      </c>
      <c r="CD7" s="608">
        <f>SUM([16]A03!$J$21:$M$24)</f>
        <v>20</v>
      </c>
      <c r="CE7" s="608">
        <f>SUM([17]A03!$J$21:$M$24)</f>
        <v>21</v>
      </c>
      <c r="CF7" s="608">
        <f>SUM([18]A03!$J$21:$M$24)</f>
        <v>18</v>
      </c>
      <c r="CG7" s="608">
        <f>SUM([19]A03!$J$21:$M$24)</f>
        <v>17</v>
      </c>
      <c r="CH7" s="608">
        <f>SUM([20]A03!$J$21:$M$24)</f>
        <v>15</v>
      </c>
      <c r="CI7" s="608">
        <f>SUM([21]A03!$J$21:$M$24)</f>
        <v>20</v>
      </c>
      <c r="CJ7" s="608">
        <f>SUM([22]A03!$J$21:$M$24)</f>
        <v>10</v>
      </c>
      <c r="CK7" s="608">
        <f>SUM([23]A03!$J$21:$M$24)</f>
        <v>17</v>
      </c>
      <c r="CL7" s="608">
        <f>SUM([24]A03!$J$21:$M$24)</f>
        <v>0</v>
      </c>
      <c r="CM7" s="608">
        <f>SUM([25]A03!$J$21:$M$24)</f>
        <v>0</v>
      </c>
      <c r="CN7" s="260">
        <f t="shared" ref="CN7:CN12" si="5">SUM(CB7:CM7)</f>
        <v>153</v>
      </c>
      <c r="CO7" s="254"/>
      <c r="CP7" s="608">
        <f>SUM([14]A26!$C$10:$C$35,[14]A26!$C$40:$E$41,[14]A33!$B$44)</f>
        <v>49</v>
      </c>
      <c r="CQ7" s="608">
        <f>SUM([15]A26!$C$10:$C$35,[15]A26!$C$40:$E$41,[15]A33!$B$44)</f>
        <v>30</v>
      </c>
      <c r="CR7" s="608">
        <f>SUM([16]A26!$C$10:$C$35,[16]A26!$C$40:$E$41,[16]A33!$B$44)</f>
        <v>44</v>
      </c>
      <c r="CS7" s="608">
        <f>SUM([17]A26!$C$10:$C$35,[17]A26!$C$40:$E$41,[17]A33!$B$44)</f>
        <v>35</v>
      </c>
      <c r="CT7" s="608">
        <f>SUM([18]A26!$C$10:$C$35,[18]A26!$C$40:$E$41,[18]A33!$B$44)</f>
        <v>34</v>
      </c>
      <c r="CU7" s="608">
        <f>SUM([19]A26!$C$10:$C$35,[19]A26!$C$40:$E$41,[19]A33!$B$44)</f>
        <v>43</v>
      </c>
      <c r="CV7" s="608">
        <f>SUM([20]A26!$C$10:$C$35,[20]A26!$C$40:$E$41,[20]A33!$B$44)</f>
        <v>25</v>
      </c>
      <c r="CW7" s="608">
        <f>SUM([21]A26!$C$10:$C$35,[21]A26!$C$40:$E$41,[21]A33!$B$44)</f>
        <v>62</v>
      </c>
      <c r="CX7" s="608">
        <f>SUM([22]A26!$C$10:$C$35,[22]A26!$C$40:$E$41,[22]A33!$B$44)</f>
        <v>43</v>
      </c>
      <c r="CY7" s="608">
        <f>SUM([23]A26!$C$10:$C$35,[23]A26!$C$40:$E$41,[23]A33!$B$44)</f>
        <v>62</v>
      </c>
      <c r="CZ7" s="608">
        <f>SUM([24]A26!$C$10:$C$35,[24]A26!$C$40:$E$41,[24]A33!$B$44)</f>
        <v>0</v>
      </c>
      <c r="DA7" s="608">
        <f>SUM([25]A26!$C$10:$C$35,[25]A26!$C$40:$E$41,[25]A33!$B$44)</f>
        <v>0</v>
      </c>
      <c r="DB7" s="260">
        <f t="shared" ref="DB7:DB12" si="6">SUM(CP7:DA7)</f>
        <v>427</v>
      </c>
      <c r="DC7" s="608">
        <f>SUM([14]A01!$C$74,[14]A01!$F$74,[14]A32!$B$186:$B$187,[14]A32!$E$186:$E$187)</f>
        <v>0</v>
      </c>
      <c r="DD7" s="608">
        <f>SUM([15]A01!$C$74,[15]A01!$F$74,[15]A32!$B$186:$B$187,[15]A32!$E$186:$E$187)</f>
        <v>44</v>
      </c>
      <c r="DE7" s="608">
        <f>SUM([16]A01!$C$74,[16]A01!$F$74,[16]A32!$B$186:$B$187,[16]A32!$E$186:$E$187)</f>
        <v>25</v>
      </c>
      <c r="DF7" s="608">
        <f>SUM([17]A01!$C$74,[17]A01!$F$74,[17]A32!$B$186:$B$187,[17]A32!$E$186:$E$187)</f>
        <v>54</v>
      </c>
      <c r="DG7" s="608">
        <f>SUM([18]A01!$C$74,[18]A01!$F$74,[18]A32!$B$186:$B$187,[18]A32!$E$186:$E$187)</f>
        <v>38</v>
      </c>
      <c r="DH7" s="608">
        <f>SUM([19]A01!$C$74,[19]A01!$F$74,[19]A32!$B$186:$B$187,[19]A32!$E$186:$E$187)</f>
        <v>45</v>
      </c>
      <c r="DI7" s="608">
        <f>SUM([20]A01!$C$74,[20]A01!$F$74,[20]A32!$B$186:$B$187,[20]A32!$E$186:$E$187)</f>
        <v>82</v>
      </c>
      <c r="DJ7" s="608">
        <f>SUM([21]A01!$C$74,[21]A01!$F$74,[21]A32!$B$186:$B$187,[21]A32!$E$186:$E$187)</f>
        <v>55</v>
      </c>
      <c r="DK7" s="608">
        <f>SUM([22]A01!$C$74,[22]A01!$F$74,[22]A32!$B$186:$B$187,[22]A32!$E$186:$E$187)</f>
        <v>54</v>
      </c>
      <c r="DL7" s="608">
        <f>SUM([23]A01!$C$74,[23]A01!$F$74,[23]A32!$B$186:$B$187,[23]A32!$E$186:$E$187)</f>
        <v>33</v>
      </c>
      <c r="DM7" s="608">
        <f>SUM([24]A01!$C$74,[24]A01!$F$74,[24]A32!$B$186:$B$187,[24]A32!$E$186:$E$187)</f>
        <v>0</v>
      </c>
      <c r="DN7" s="608">
        <f>SUM([25]A01!$C$74,[25]A01!$F$74,[25]A32!$B$186:$B$187,[25]A32!$E$186:$E$187)</f>
        <v>0</v>
      </c>
      <c r="DO7" s="260">
        <f t="shared" ref="DO7:DO12" si="7">SUM(DC7:DN7)</f>
        <v>430</v>
      </c>
      <c r="DP7" s="254"/>
    </row>
    <row r="8" spans="2:214" s="256" customFormat="1" ht="12" x14ac:dyDescent="0.2">
      <c r="B8" s="261">
        <v>107353</v>
      </c>
      <c r="C8" s="149" t="s">
        <v>97</v>
      </c>
      <c r="E8" s="792">
        <f>SUM([26]A02!$H$21,[26]A02!$J$21,[26]A02!$L$21,[26]A02!$N$21,[26]A02!$P$21,[26]A02!$R$21,[26]A02!$T$21,[26]A02!$V$21,[26]A02!$X$21)</f>
        <v>53</v>
      </c>
      <c r="F8" s="792">
        <f>SUM([27]A02!$H$21,[27]A02!$J$21,[27]A02!$L$21,[27]A02!$N$21,[27]A02!$P$21,[27]A02!$R$21,[27]A02!$T$21,[27]A02!$V$21,[27]A02!$X$21)</f>
        <v>49</v>
      </c>
      <c r="G8" s="792">
        <f>SUM([28]A02!$H$21,[28]A02!$J$21,[28]A02!$L$21,[28]A02!$N$21,[28]A02!$P$21,[28]A02!$R$21,[28]A02!$T$21,[28]A02!$V$21,[28]A02!$X$21)</f>
        <v>57</v>
      </c>
      <c r="H8" s="792">
        <f>SUM([29]A02!$H$21,[29]A02!$J$21,[29]A02!$L$21,[29]A02!$N$21,[29]A02!$P$21,[29]A02!$R$21,[29]A02!$T$21,[29]A02!$V$21,[29]A02!$X$21)</f>
        <v>51</v>
      </c>
      <c r="I8" s="792">
        <f>SUM([30]A02!$H$21,[30]A02!$J$21,[30]A02!$L$21,[30]A02!$N$21,[30]A02!$P$21,[30]A02!$R$21,[30]A02!$T$21,[30]A02!$V$21,[30]A02!$X$21)</f>
        <v>102</v>
      </c>
      <c r="J8" s="792">
        <f>SUM([31]A02!$H$21,[31]A02!$J$21,[31]A02!$L$21,[31]A02!$N$21,[31]A02!$P$21,[31]A02!$R$21,[31]A02!$T$21,[31]A02!$V$21,[31]A02!$X$21)</f>
        <v>123</v>
      </c>
      <c r="K8" s="792">
        <f>SUM([32]A02!$H$21,[32]A02!$J$21,[32]A02!$L$21,[32]A02!$N$21,[32]A02!$P$21,[32]A02!$R$21,[32]A02!$T$21,[32]A02!$V$21,[32]A02!$X$21)</f>
        <v>76</v>
      </c>
      <c r="L8" s="792">
        <f>SUM([33]A02!$H$21,[33]A02!$J$21,[33]A02!$L$21,[33]A02!$N$21,[33]A02!$P$21,[33]A02!$R$21,[33]A02!$T$21,[33]A02!$V$21,[33]A02!$X$21)</f>
        <v>68</v>
      </c>
      <c r="M8" s="792">
        <f>SUM([34]A02!$H$21,[34]A02!$J$21,[34]A02!$L$21,[34]A02!$N$21,[34]A02!$P$21,[34]A02!$R$21,[34]A02!$T$21,[34]A02!$V$21,[34]A02!$X$21)</f>
        <v>43</v>
      </c>
      <c r="N8" s="792">
        <f>SUM([35]A02!$H$21,[35]A02!$J$21,[35]A02!$L$21,[35]A02!$N$21,[35]A02!$P$21,[35]A02!$R$21,[35]A02!$T$21,[35]A02!$V$21,[35]A02!$X$21)</f>
        <v>70</v>
      </c>
      <c r="O8" s="792">
        <f>SUM([36]A02!$H$21,[36]A02!$J$21,[36]A02!$L$21,[36]A02!$N$21,[36]A02!$P$21,[36]A02!$R$21,[36]A02!$T$21,[36]A02!$V$21,[36]A02!$X$21)</f>
        <v>0</v>
      </c>
      <c r="P8" s="792">
        <f>SUM([37]A02!$H$21,[37]A02!$J$21,[37]A02!$L$21,[37]A02!$N$21,[37]A02!$P$21,[37]A02!$R$21,[37]A02!$T$21,[37]A02!$V$21,[37]A02!$X$21)</f>
        <v>0</v>
      </c>
      <c r="Q8" s="260">
        <f t="shared" si="0"/>
        <v>692</v>
      </c>
      <c r="R8" s="732"/>
      <c r="S8" s="608">
        <f>SUM([26]A02!$G$21,[26]A02!$I$21,[26]A02!$K$21,[26]A02!$M$21,[26]A02!$O$21,[26]A02!$Q$21,[26]A02!$S$21,[26]A02!$U$21,[26]A02!$W$21)</f>
        <v>22</v>
      </c>
      <c r="T8" s="608">
        <f>SUM([27]A02!$G$21,[27]A02!$I$21,[27]A02!$K$21,[27]A02!$M$21,[27]A02!$O$21,[27]A02!$Q$21,[27]A02!$S$21,[27]A02!$U$21,[27]A02!$W$21)</f>
        <v>17</v>
      </c>
      <c r="U8" s="608">
        <f>SUM([28]A02!$G$21,[28]A02!$I$21,[28]A02!$K$21,[28]A02!$M$21,[28]A02!$O$21,[28]A02!$Q$21,[28]A02!$S$21,[28]A02!$U$21,[28]A02!$W$21)</f>
        <v>13</v>
      </c>
      <c r="V8" s="608">
        <f>SUM([29]A02!$G$21,[29]A02!$I$21,[29]A02!$K$21,[29]A02!$M$21,[29]A02!$O$21,[29]A02!$Q$21,[29]A02!$S$21,[29]A02!$U$21,[29]A02!$W$21)</f>
        <v>21</v>
      </c>
      <c r="W8" s="608">
        <f>SUM([30]A02!$G$21,[30]A02!$I$21,[30]A02!$K$21,[30]A02!$M$21,[30]A02!$O$21,[30]A02!$Q$21,[30]A02!$S$21,[30]A02!$U$21,[30]A02!$W$21)</f>
        <v>39</v>
      </c>
      <c r="X8" s="608">
        <f>SUM([31]A02!$G$21,[31]A02!$I$21,[31]A02!$K$21,[31]A02!$M$21,[31]A02!$O$21,[31]A02!$Q$21,[31]A02!$S$21,[31]A02!$U$21,[31]A02!$W$21)</f>
        <v>67</v>
      </c>
      <c r="Y8" s="608">
        <f>SUM([32]A02!$G$21,[32]A02!$I$21,[32]A02!$K$21,[32]A02!$M$21,[32]A02!$O$21,[32]A02!$Q$21,[32]A02!$S$21,[32]A02!$U$21,[32]A02!$W$21)</f>
        <v>49</v>
      </c>
      <c r="Z8" s="608">
        <f>SUM([33]A02!$G$21,[33]A02!$I$21,[33]A02!$K$21,[33]A02!$M$21,[33]A02!$O$21,[33]A02!$Q$21,[33]A02!$S$21,[33]A02!$U$21,[33]A02!$W$21)</f>
        <v>23</v>
      </c>
      <c r="AA8" s="608">
        <f>SUM([34]A02!$G$21,[34]A02!$I$21,[34]A02!$K$21,[34]A02!$M$21,[34]A02!$O$21,[34]A02!$Q$21,[34]A02!$S$21,[34]A02!$U$21,[34]A02!$W$21)</f>
        <v>18</v>
      </c>
      <c r="AB8" s="608">
        <f>SUM([35]A02!$G$21,[35]A02!$I$21,[35]A02!$K$21,[35]A02!$M$21,[35]A02!$O$21,[35]A02!$Q$21,[35]A02!$S$21,[35]A02!$U$21,[35]A02!$W$21)</f>
        <v>19</v>
      </c>
      <c r="AC8" s="608">
        <f>SUM([36]A02!$G$21,[36]A02!$I$21,[36]A02!$K$21,[36]A02!$M$21,[36]A02!$O$21,[36]A02!$Q$21,[36]A02!$S$21,[36]A02!$U$21,[36]A02!$W$21)</f>
        <v>0</v>
      </c>
      <c r="AD8" s="608">
        <f>SUM([37]A02!$G$21,[37]A02!$I$21,[37]A02!$K$21,[37]A02!$M$21,[37]A02!$O$21,[37]A02!$Q$21,[37]A02!$S$21,[37]A02!$U$21,[37]A02!$W$21)</f>
        <v>0</v>
      </c>
      <c r="AE8" s="260">
        <f t="shared" si="1"/>
        <v>288</v>
      </c>
      <c r="AF8" s="732"/>
      <c r="AG8" s="732"/>
      <c r="AH8" s="732"/>
      <c r="AI8" s="254"/>
      <c r="AJ8" s="254"/>
      <c r="AK8" s="254"/>
      <c r="AL8" s="608">
        <f>SUM([26]A02!$Y$21:$AF$21)</f>
        <v>72</v>
      </c>
      <c r="AM8" s="608">
        <f>SUM([27]A02!$Y$21:$AF$21)</f>
        <v>47</v>
      </c>
      <c r="AN8" s="608">
        <f>SUM([28]A02!$Y$21:$AF$21)</f>
        <v>55</v>
      </c>
      <c r="AO8" s="608">
        <f>SUM([29]A02!$Y$21:$AF$21)</f>
        <v>67</v>
      </c>
      <c r="AP8" s="608">
        <f>SUM([30]A02!$Y$21:$AF$21)</f>
        <v>87</v>
      </c>
      <c r="AQ8" s="608">
        <f>SUM([31]A02!$Y$21:$AF$21)</f>
        <v>170</v>
      </c>
      <c r="AR8" s="608">
        <f>SUM([32]A02!$Y$21:$AF$21)</f>
        <v>133</v>
      </c>
      <c r="AS8" s="608">
        <f>SUM([33]A02!$Y$21:$AF$21)</f>
        <v>89</v>
      </c>
      <c r="AT8" s="608">
        <f>SUM([34]A02!$Y$21:$AF$21)</f>
        <v>75</v>
      </c>
      <c r="AU8" s="608">
        <f>SUM([35]A02!$Y$21:$AF$21)</f>
        <v>115</v>
      </c>
      <c r="AV8" s="608">
        <f>SUM([36]A02!$Y$21:$AF$21)</f>
        <v>0</v>
      </c>
      <c r="AW8" s="608">
        <f>SUM([37]A02!$Y$21:$AF$21)</f>
        <v>0</v>
      </c>
      <c r="AX8" s="260">
        <f t="shared" si="2"/>
        <v>910</v>
      </c>
      <c r="AY8" s="254"/>
      <c r="AZ8" s="789">
        <f>[26]A05!$C$13</f>
        <v>21</v>
      </c>
      <c r="BA8" s="608">
        <f>[27]A05!$C$13</f>
        <v>13</v>
      </c>
      <c r="BB8" s="608">
        <f>[28]A05!$C$13</f>
        <v>16</v>
      </c>
      <c r="BC8" s="608">
        <f>[29]A05!$C$13</f>
        <v>7</v>
      </c>
      <c r="BD8" s="608">
        <f>[30]A05!$C$13</f>
        <v>9</v>
      </c>
      <c r="BE8" s="608">
        <f>[31]A05!$C$13</f>
        <v>13</v>
      </c>
      <c r="BF8" s="608">
        <f>[32]A05!$C$13</f>
        <v>8</v>
      </c>
      <c r="BG8" s="608">
        <f>[33]A05!$C$13</f>
        <v>11</v>
      </c>
      <c r="BH8" s="608">
        <f>[34]A05!$C$13</f>
        <v>7</v>
      </c>
      <c r="BI8" s="608">
        <f>[35]A05!$C$13</f>
        <v>9</v>
      </c>
      <c r="BJ8" s="608">
        <f>SUM([36]A02!$Y$21:$AF$21)</f>
        <v>0</v>
      </c>
      <c r="BK8" s="608">
        <f>SUM([37]A02!$Y$21:$AF$21)</f>
        <v>0</v>
      </c>
      <c r="BL8" s="260">
        <f t="shared" si="3"/>
        <v>114</v>
      </c>
      <c r="BM8" s="254"/>
      <c r="BN8" s="789">
        <f>[26]A05!$C$11</f>
        <v>22</v>
      </c>
      <c r="BO8" s="608">
        <f>[27]A05!$C$11</f>
        <v>16</v>
      </c>
      <c r="BP8" s="608">
        <f>[28]A05!$C$11</f>
        <v>20</v>
      </c>
      <c r="BQ8" s="608">
        <f>[29]A05!$C$11</f>
        <v>11</v>
      </c>
      <c r="BR8" s="608">
        <f>[30]A05!$C$11</f>
        <v>9</v>
      </c>
      <c r="BS8" s="608">
        <f>[31]A05!$C$11</f>
        <v>14</v>
      </c>
      <c r="BT8" s="608">
        <f>[32]A05!$C$11</f>
        <v>9</v>
      </c>
      <c r="BU8" s="608">
        <f>[33]A05!$C$11</f>
        <v>11</v>
      </c>
      <c r="BV8" s="608">
        <f>[34]A05!$C$11</f>
        <v>7</v>
      </c>
      <c r="BW8" s="608">
        <f>[35]A05!$C$11</f>
        <v>9</v>
      </c>
      <c r="BX8" s="608">
        <f>[36]A05!$C$11</f>
        <v>0</v>
      </c>
      <c r="BY8" s="608">
        <f>[36]A05!$C$11</f>
        <v>0</v>
      </c>
      <c r="BZ8" s="260">
        <f t="shared" si="4"/>
        <v>128</v>
      </c>
      <c r="CB8" s="608">
        <f>SUM([26]A03!$J$21:$M$24)</f>
        <v>16</v>
      </c>
      <c r="CC8" s="608">
        <f>SUM([27]A03!$J$21:$M$24)</f>
        <v>7</v>
      </c>
      <c r="CD8" s="608">
        <f>SUM([28]A03!$J$21:$M$24)</f>
        <v>16</v>
      </c>
      <c r="CE8" s="608">
        <f>SUM([29]A03!$J$21:$M$24)</f>
        <v>12</v>
      </c>
      <c r="CF8" s="608">
        <f>SUM([30]A03!$J$21:$M$24)</f>
        <v>7</v>
      </c>
      <c r="CG8" s="608">
        <f>SUM([31]A03!$J$21:$M$24)</f>
        <v>9</v>
      </c>
      <c r="CH8" s="608">
        <f>SUM([32]A03!$J$21:$M$24)</f>
        <v>12</v>
      </c>
      <c r="CI8" s="608">
        <f>SUM([33]A03!$J$21:$M$24)</f>
        <v>11</v>
      </c>
      <c r="CJ8" s="608">
        <f>SUM([34]A03!$J$21:$M$24)</f>
        <v>14</v>
      </c>
      <c r="CK8" s="608">
        <f>SUM([35]A03!$J$21:$M$24)</f>
        <v>36</v>
      </c>
      <c r="CL8" s="608">
        <f>SUM([36]A03!$J$21:$M$24)</f>
        <v>0</v>
      </c>
      <c r="CM8" s="608">
        <f>SUM([37]A03!$J$21:$M$24)</f>
        <v>0</v>
      </c>
      <c r="CN8" s="260">
        <f t="shared" si="5"/>
        <v>140</v>
      </c>
      <c r="CO8" s="254"/>
      <c r="CP8" s="789">
        <f>SUM([26]A26!$C$10:$C$35,[26]A26!$C$40:$E$41,[26]A33!$B$44)</f>
        <v>58</v>
      </c>
      <c r="CQ8" s="608">
        <f>SUM([27]A26!$C$10:$C$35,[27]A26!$C$40:$E$41,[27]A33!$B$44)</f>
        <v>16</v>
      </c>
      <c r="CR8" s="608">
        <f>SUM([28]A26!$C$10:$C$35,[28]A26!$C$40:$E$41,[28]A33!$B$44)</f>
        <v>30</v>
      </c>
      <c r="CS8" s="608">
        <f>SUM([29]A26!$C$10:$C$35,[29]A26!$C$40:$E$41,[29]A33!$B$44)</f>
        <v>43</v>
      </c>
      <c r="CT8" s="608">
        <f>SUM([30]A26!$C$10:$C$35,[30]A26!$C$40:$E$41,[30]A33!$B$44)</f>
        <v>37</v>
      </c>
      <c r="CU8" s="608">
        <f>SUM([31]A26!$C$10:$C$35,[31]A26!$C$40:$E$41,[31]A33!$B$44)</f>
        <v>56</v>
      </c>
      <c r="CV8" s="608">
        <f>SUM([32]A26!$C$10:$C$35,[32]A26!$C$40:$E$41,[32]A33!$B$44)</f>
        <v>67</v>
      </c>
      <c r="CW8" s="608">
        <f>SUM([33]A26!$C$10:$C$35,[33]A26!$C$40:$E$41,[33]A33!$B$44)</f>
        <v>81</v>
      </c>
      <c r="CX8" s="608">
        <f>SUM([34]A26!$C$10:$C$35,[34]A26!$C$40:$E$41,[34]A33!$B$44)</f>
        <v>37</v>
      </c>
      <c r="CY8" s="608">
        <f>SUM([35]A26!$C$10:$C$35,[35]A26!$C$40:$E$41,[35]A33!$B$44)</f>
        <v>69</v>
      </c>
      <c r="CZ8" s="608">
        <f>SUM([36]A26!$C$10:$C$35,[36]A26!$C$40:$E$41,[36]A33!$B$44)</f>
        <v>0</v>
      </c>
      <c r="DA8" s="608">
        <f>SUM([37]A26!$C$10:$C$35,[37]A26!$C$40:$E$41,[37]A33!$B$44)</f>
        <v>0</v>
      </c>
      <c r="DB8" s="260">
        <f t="shared" si="6"/>
        <v>494</v>
      </c>
      <c r="DC8" s="789">
        <f>SUM([26]A01!$C$74,[26]A01!$F$74,[26]A32!$B$186:$B$187,[26]A32!$E$186:$E$187)</f>
        <v>40</v>
      </c>
      <c r="DD8" s="608">
        <f>SUM([27]A01!$C$74,[27]A01!$F$74,[27]A32!$B$186:$B$187,[27]A32!$E$186:$E$187)</f>
        <v>24</v>
      </c>
      <c r="DE8" s="608">
        <f>SUM([28]A01!$C$74,[28]A01!$F$74,[28]A32!$B$186:$B$187,[28]A32!$E$186:$E$187)</f>
        <v>4</v>
      </c>
      <c r="DF8" s="608">
        <f>SUM([29]A01!$C$74,[29]A01!$F$74,[29]A32!$B$186:$B$187,[29]A32!$E$186:$E$187)</f>
        <v>15</v>
      </c>
      <c r="DG8" s="608">
        <f>SUM([30]A01!$C$74,[30]A01!$F$74,[30]A32!$B$186:$B$187,[30]A32!$E$186:$E$187)</f>
        <v>19</v>
      </c>
      <c r="DH8" s="608">
        <f>SUM([31]A01!$C$74,[31]A01!$F$74,[31]A32!$B$186:$B$187,[31]A32!$E$186:$E$187)</f>
        <v>34</v>
      </c>
      <c r="DI8" s="608">
        <f>SUM([32]A01!$C$74,[32]A01!$F$74,[32]A32!$B$186:$B$187,[32]A32!$E$186:$E$187)</f>
        <v>30</v>
      </c>
      <c r="DJ8" s="608">
        <f>SUM([33]A01!$C$74,[33]A01!$F$74,[33]A32!$B$186:$B$187,[33]A32!$E$186:$E$187)</f>
        <v>0</v>
      </c>
      <c r="DK8" s="608">
        <f>SUM([34]A01!$C$74,[34]A01!$F$74,[34]A32!$B$186:$B$187,[34]A32!$E$186:$E$187)</f>
        <v>66</v>
      </c>
      <c r="DL8" s="608">
        <f>SUM([35]A01!$C$74,[35]A01!$F$74,[35]A32!$B$186:$B$187,[35]A32!$E$186:$E$187)</f>
        <v>96</v>
      </c>
      <c r="DM8" s="608">
        <f>SUM([36]A01!$C$74,[36]A01!$F$74,[36]A32!$B$186:$B$187,[36]A32!$E$186:$E$187)</f>
        <v>0</v>
      </c>
      <c r="DN8" s="608">
        <f>SUM([37]A01!$C$74,[37]A01!$F$74,[37]A32!$B$186:$B$187,[37]A32!$E$186:$E$187)</f>
        <v>0</v>
      </c>
      <c r="DO8" s="260">
        <f t="shared" si="7"/>
        <v>328</v>
      </c>
      <c r="DP8" s="254"/>
    </row>
    <row r="9" spans="2:214" s="256" customFormat="1" ht="12" x14ac:dyDescent="0.2">
      <c r="B9" s="261">
        <v>107356</v>
      </c>
      <c r="C9" s="149" t="s">
        <v>98</v>
      </c>
      <c r="E9" s="792">
        <f>SUM([38]A02!$H$21,[38]A02!$J$21,[38]A02!$L$21,[38]A02!$N$21,[38]A02!$P$21,[38]A02!$R$21,[38]A02!$T$21,[38]A02!$V$21,[38]A02!$X$21)</f>
        <v>125</v>
      </c>
      <c r="F9" s="792">
        <f>SUM([39]A02!$H$21,[39]A02!$J$21,[39]A02!$L$21,[39]A02!$N$21,[39]A02!$P$21,[39]A02!$R$21,[39]A02!$T$21,[39]A02!$V$21,[39]A02!$X$21)</f>
        <v>67</v>
      </c>
      <c r="G9" s="792">
        <f>SUM([40]A02!$H$21,[40]A02!$J$21,[40]A02!$L$21,[40]A02!$N$21,[40]A02!$P$21,[40]A02!$R$21,[40]A02!$T$21,[40]A02!$V$21,[40]A02!$X$21)</f>
        <v>41</v>
      </c>
      <c r="H9" s="792">
        <f>SUM([41]A02!$H$21,[41]A02!$J$21,[41]A02!$L$21,[41]A02!$N$21,[41]A02!$P$21,[41]A02!$R$21,[41]A02!$T$21,[41]A02!$V$21,[41]A02!$X$21)</f>
        <v>37</v>
      </c>
      <c r="I9" s="792">
        <f>SUM([42]A02!$H$21,[42]A02!$J$21,[42]A02!$L$21,[42]A02!$N$21,[42]A02!$P$21,[42]A02!$R$21,[42]A02!$T$21,[42]A02!$V$21,[42]A02!$X$21)</f>
        <v>34</v>
      </c>
      <c r="J9" s="792">
        <f>SUM([43]A02!$H$21,[43]A02!$J$21,[43]A02!$L$21,[43]A02!$N$21,[43]A02!$P$21,[43]A02!$R$21,[43]A02!$T$21,[43]A02!$V$21,[43]A02!$X$21)</f>
        <v>30</v>
      </c>
      <c r="K9" s="792">
        <f>SUM([44]A02!$H$21,[44]A02!$J$21,[44]A02!$L$21,[44]A02!$N$21,[44]A02!$P$21,[44]A02!$R$21,[44]A02!$T$21,[44]A02!$V$21,[44]A02!$X$21)</f>
        <v>31</v>
      </c>
      <c r="L9" s="792">
        <f>SUM([45]A02!$H$21,[45]A02!$J$21,[45]A02!$L$21,[45]A02!$N$21,[45]A02!$P$21,[45]A02!$R$21,[45]A02!$T$21,[45]A02!$V$21,[45]A02!$X$21)</f>
        <v>82</v>
      </c>
      <c r="M9" s="792">
        <f>SUM([46]A02!$H$21,[46]A02!$J$21,[46]A02!$L$21,[46]A02!$N$21,[46]A02!$P$21,[46]A02!$R$21,[46]A02!$T$21,[46]A02!$V$21,[46]A02!$X$21)</f>
        <v>39</v>
      </c>
      <c r="N9" s="792">
        <f>SUM([47]A02!$H$21,[47]A02!$J$21,[47]A02!$L$21,[47]A02!$N$21,[47]A02!$P$21,[47]A02!$R$21,[47]A02!$T$21,[47]A02!$V$21,[47]A02!$X$21)</f>
        <v>80</v>
      </c>
      <c r="O9" s="792">
        <f>SUM([48]A02!$H$21,[48]A02!$J$21,[48]A02!$L$21,[48]A02!$N$21,[48]A02!$P$21,[48]A02!$R$21,[48]A02!$T$21,[48]A02!$V$21,[48]A02!$X$21)</f>
        <v>0</v>
      </c>
      <c r="P9" s="792">
        <f>SUM([49]A02!$H$21,[49]A02!$J$21,[49]A02!$L$21,[49]A02!$N$21,[49]A02!$P$21,[49]A02!$R$21,[49]A02!$T$21,[49]A02!$V$21,[49]A02!$X$21)</f>
        <v>0</v>
      </c>
      <c r="Q9" s="260">
        <f t="shared" si="0"/>
        <v>566</v>
      </c>
      <c r="R9" s="732"/>
      <c r="S9" s="608">
        <f>SUM([38]A02!$G$21,[38]A02!$I$21,[38]A02!$K$21,[38]A02!$M$21,[38]A02!$O$21,[38]A02!$Q$21,[38]A02!$S$21,[38]A02!$U$21,[38]A02!$W$21)</f>
        <v>58</v>
      </c>
      <c r="T9" s="608">
        <f>SUM([39]A02!$G$21,[39]A02!$I$21,[39]A02!$K$21,[39]A02!$M$21,[39]A02!$O$21,[39]A02!$Q$21,[39]A02!$S$21,[39]A02!$U$21,[39]A02!$W$21)</f>
        <v>28</v>
      </c>
      <c r="U9" s="608">
        <f>SUM([40]A02!$G$21,[40]A02!$I$21,[40]A02!$K$21,[40]A02!$M$21,[40]A02!$O$21,[40]A02!$Q$21,[40]A02!$S$21,[40]A02!$U$21,[40]A02!$W$21)</f>
        <v>6</v>
      </c>
      <c r="V9" s="608">
        <f>SUM([41]A02!$G$21,[41]A02!$I$21,[41]A02!$K$21,[41]A02!$M$21,[41]A02!$O$21,[41]A02!$Q$21,[41]A02!$S$21,[41]A02!$U$21,[41]A02!$W$21)</f>
        <v>12</v>
      </c>
      <c r="W9" s="608">
        <f>SUM([42]A02!$G$21,[42]A02!$I$21,[42]A02!$K$21,[42]A02!$M$21,[42]A02!$O$21,[42]A02!$Q$21,[42]A02!$S$21,[42]A02!$U$21,[42]A02!$W$21)</f>
        <v>9</v>
      </c>
      <c r="X9" s="608">
        <f>SUM([43]A02!$G$21,[43]A02!$I$21,[43]A02!$K$21,[43]A02!$M$21,[43]A02!$O$21,[43]A02!$Q$21,[43]A02!$S$21,[43]A02!$U$21,[43]A02!$W$21)</f>
        <v>10</v>
      </c>
      <c r="Y9" s="608">
        <f>SUM([44]A02!$G$21,[44]A02!$I$21,[44]A02!$K$21,[44]A02!$M$21,[44]A02!$O$21,[44]A02!$Q$21,[44]A02!$S$21,[44]A02!$U$21,[44]A02!$W$21)</f>
        <v>16</v>
      </c>
      <c r="Z9" s="608">
        <f>SUM([45]A02!$G$21,[45]A02!$I$21,[45]A02!$K$21,[45]A02!$M$21,[45]A02!$O$21,[45]A02!$Q$21,[45]A02!$S$21,[45]A02!$U$21,[45]A02!$W$21)</f>
        <v>38</v>
      </c>
      <c r="AA9" s="608">
        <f>SUM([46]A02!$G$21,[46]A02!$I$21,[46]A02!$K$21,[46]A02!$M$21,[46]A02!$O$21,[46]A02!$Q$21,[46]A02!$S$21,[46]A02!$U$21,[46]A02!$W$21)</f>
        <v>18</v>
      </c>
      <c r="AB9" s="608">
        <f>SUM([47]A02!$G$21,[47]A02!$I$21,[47]A02!$K$21,[47]A02!$M$21,[47]A02!$O$21,[47]A02!$Q$21,[47]A02!$S$21,[47]A02!$U$21,[47]A02!$W$21)</f>
        <v>47</v>
      </c>
      <c r="AC9" s="608">
        <f>SUM([48]A02!$G$21,[48]A02!$I$21,[48]A02!$K$21,[48]A02!$M$21,[48]A02!$O$21,[48]A02!$Q$21,[48]A02!$S$21,[48]A02!$U$21,[48]A02!$W$21)</f>
        <v>0</v>
      </c>
      <c r="AD9" s="608">
        <f>SUM([49]A02!$G$21,[49]A02!$I$21,[49]A02!$K$21,[49]A02!$M$21,[49]A02!$O$21,[49]A02!$Q$21,[49]A02!$S$21,[49]A02!$U$21,[49]A02!$W$21)</f>
        <v>0</v>
      </c>
      <c r="AE9" s="260">
        <f t="shared" si="1"/>
        <v>242</v>
      </c>
      <c r="AF9" s="732"/>
      <c r="AG9" s="732"/>
      <c r="AH9" s="732"/>
      <c r="AI9" s="254"/>
      <c r="AJ9" s="254"/>
      <c r="AK9" s="254"/>
      <c r="AL9" s="608">
        <f>SUM([38]A02!$Y$21:$AF$21)</f>
        <v>126</v>
      </c>
      <c r="AM9" s="608">
        <f>SUM([39]A02!$Y$21:$AF$21)</f>
        <v>52</v>
      </c>
      <c r="AN9" s="608">
        <f>SUM([40]A02!$Y$21:$AF$21)</f>
        <v>82</v>
      </c>
      <c r="AO9" s="608">
        <f>SUM([41]A02!$Y$21:$AF$21)</f>
        <v>89</v>
      </c>
      <c r="AP9" s="608">
        <f>SUM([42]A02!$Y$21:$AF$21)</f>
        <v>96</v>
      </c>
      <c r="AQ9" s="608">
        <f>SUM([43]A02!$Y$21:$AF$21)</f>
        <v>77</v>
      </c>
      <c r="AR9" s="608">
        <f>SUM([44]A02!$Y$21:$AF$21)</f>
        <v>103</v>
      </c>
      <c r="AS9" s="608">
        <f>SUM([45]A02!$Y$21:$AF$21)</f>
        <v>122</v>
      </c>
      <c r="AT9" s="608">
        <f>SUM([46]A02!$Y$21:$AF$21)</f>
        <v>72</v>
      </c>
      <c r="AU9" s="608">
        <f>SUM([47]A02!$Y$21:$AF$21)</f>
        <v>144</v>
      </c>
      <c r="AV9" s="608">
        <f>SUM([48]A02!$Y$21:$AF$21)</f>
        <v>0</v>
      </c>
      <c r="AW9" s="608">
        <f>SUM([49]A02!$Y$21:$AF$21)</f>
        <v>0</v>
      </c>
      <c r="AX9" s="260">
        <f t="shared" si="2"/>
        <v>963</v>
      </c>
      <c r="AY9" s="254"/>
      <c r="AZ9" s="792">
        <f>[38]A05!$C$13</f>
        <v>19</v>
      </c>
      <c r="BA9" s="608">
        <f>[39]A05!$C$13</f>
        <v>11</v>
      </c>
      <c r="BB9" s="608">
        <f>[40]A05!$C$13</f>
        <v>11</v>
      </c>
      <c r="BC9" s="608">
        <f>[41]A05!$C$13</f>
        <v>16</v>
      </c>
      <c r="BD9" s="608">
        <f>[42]A05!$C$13</f>
        <v>9</v>
      </c>
      <c r="BE9" s="608">
        <f>[43]A05!$C$13</f>
        <v>12</v>
      </c>
      <c r="BF9" s="608">
        <f>[44]A05!$C$13</f>
        <v>11</v>
      </c>
      <c r="BG9" s="608">
        <f>[45]A05!$C$13</f>
        <v>8</v>
      </c>
      <c r="BH9" s="608">
        <f>[46]A05!$C$13</f>
        <v>10</v>
      </c>
      <c r="BI9" s="608">
        <f>[47]A05!$C$13</f>
        <v>20</v>
      </c>
      <c r="BJ9" s="608">
        <f>SUM([48]A02!$Y$21:$AF$21)</f>
        <v>0</v>
      </c>
      <c r="BK9" s="608">
        <f>SUM([49]A02!$Y$21:$AF$21)</f>
        <v>0</v>
      </c>
      <c r="BL9" s="260">
        <f t="shared" si="3"/>
        <v>127</v>
      </c>
      <c r="BM9" s="254"/>
      <c r="BN9" s="608">
        <f>[38]A05!$C$11</f>
        <v>24</v>
      </c>
      <c r="BO9" s="608">
        <f>[39]A05!$C$11</f>
        <v>11</v>
      </c>
      <c r="BP9" s="608">
        <f>[40]A05!$C$11</f>
        <v>14</v>
      </c>
      <c r="BQ9" s="608">
        <f>[41]A05!$C$11</f>
        <v>16</v>
      </c>
      <c r="BR9" s="608">
        <f>[42]A05!$C$11</f>
        <v>9</v>
      </c>
      <c r="BS9" s="608">
        <f>[43]A05!$C$11</f>
        <v>12</v>
      </c>
      <c r="BT9" s="608">
        <f>[44]A05!$C$11</f>
        <v>11</v>
      </c>
      <c r="BU9" s="608">
        <f>[45]A05!$C$11</f>
        <v>8</v>
      </c>
      <c r="BV9" s="608">
        <f>[46]A05!$C$11</f>
        <v>10</v>
      </c>
      <c r="BW9" s="608">
        <f>[47]A05!$C$11</f>
        <v>20</v>
      </c>
      <c r="BX9" s="608">
        <f>[48]A05!$C$11</f>
        <v>0</v>
      </c>
      <c r="BY9" s="608">
        <f>[48]A05!$C$11</f>
        <v>0</v>
      </c>
      <c r="BZ9" s="260">
        <f t="shared" si="4"/>
        <v>135</v>
      </c>
      <c r="CB9" s="608">
        <f>SUM([38]A03!$J$21:$M$24)</f>
        <v>6</v>
      </c>
      <c r="CC9" s="608">
        <f>SUM([39]A03!$J$21:$M$24)</f>
        <v>7</v>
      </c>
      <c r="CD9" s="608">
        <f>SUM([40]A03!$J$21:$M$24)</f>
        <v>19</v>
      </c>
      <c r="CE9" s="608">
        <f>SUM([41]A03!$J$21:$M$24)</f>
        <v>17</v>
      </c>
      <c r="CF9" s="608">
        <f>SUM([42]A03!$J$21:$M$24)</f>
        <v>9</v>
      </c>
      <c r="CG9" s="608">
        <f>SUM([43]A03!$J$21:$M$24)</f>
        <v>13</v>
      </c>
      <c r="CH9" s="608">
        <f>SUM([44]A03!$J$21:$M$24)</f>
        <v>13</v>
      </c>
      <c r="CI9" s="608">
        <f>SUM([45]A03!$J$21:$M$24)</f>
        <v>8</v>
      </c>
      <c r="CJ9" s="608">
        <f>SUM([46]A03!$J$21:$M$24)</f>
        <v>4</v>
      </c>
      <c r="CK9" s="608">
        <f>SUM([47]A03!$J$21:$M$24)</f>
        <v>12</v>
      </c>
      <c r="CL9" s="608">
        <f>SUM([48]A03!$J$21:$M$24)</f>
        <v>0</v>
      </c>
      <c r="CM9" s="608">
        <f>SUM([49]A03!$J$21:$M$24)</f>
        <v>0</v>
      </c>
      <c r="CN9" s="260">
        <f t="shared" si="5"/>
        <v>108</v>
      </c>
      <c r="CO9" s="254"/>
      <c r="CP9" s="608">
        <f>SUM([38]A26!$C$10:$C$35,[38]A26!$C$40:$E$41,[38]A33!$B$44)</f>
        <v>45</v>
      </c>
      <c r="CQ9" s="608">
        <f>SUM([39]A26!$C$10:$C$35,[39]A26!$C$40:$E$41,[39]A33!$B$44)</f>
        <v>44</v>
      </c>
      <c r="CR9" s="608">
        <f>SUM([40]A26!$C$10:$C$35,[40]A26!$C$40:$E$41,[40]A33!$B$44)</f>
        <v>36</v>
      </c>
      <c r="CS9" s="608">
        <f>SUM([41]A26!$C$10:$C$35,[41]A26!$C$40:$E$41,[41]A33!$B$44)</f>
        <v>55</v>
      </c>
      <c r="CT9" s="608">
        <f>SUM([42]A26!$C$10:$C$35,[42]A26!$C$40:$E$41,[42]A33!$B$44)</f>
        <v>60</v>
      </c>
      <c r="CU9" s="608">
        <f>SUM([43]A26!$C$10:$C$35,[43]A26!$C$40:$E$41,[43]A33!$B$44)</f>
        <v>81</v>
      </c>
      <c r="CV9" s="608">
        <f>SUM([44]A26!$C$10:$C$35,[44]A26!$C$40:$E$41,[44]A33!$B$44)</f>
        <v>77</v>
      </c>
      <c r="CW9" s="608">
        <f>SUM([45]A26!$C$10:$C$35,[45]A26!$C$40:$E$41,[45]A33!$B$44)</f>
        <v>63</v>
      </c>
      <c r="CX9" s="608">
        <f>SUM([46]A26!$C$10:$C$35,[46]A26!$C$40:$E$41,[46]A33!$B$44)</f>
        <v>41</v>
      </c>
      <c r="CY9" s="608">
        <f>SUM([47]A26!$C$10:$C$35,[47]A26!$C$40:$E$41,[47]A33!$B$44)</f>
        <v>76</v>
      </c>
      <c r="CZ9" s="608">
        <f>SUM([48]A26!$C$10:$C$35,[48]A26!$C$40:$E$41,[48]A33!$B$44)</f>
        <v>0</v>
      </c>
      <c r="DA9" s="608">
        <f>SUM([49]A26!$C$10:$C$35,[49]A26!$C$40:$E$41,[49]A33!$B$44)</f>
        <v>0</v>
      </c>
      <c r="DB9" s="260">
        <f t="shared" si="6"/>
        <v>578</v>
      </c>
      <c r="DC9" s="608">
        <f>SUM([38]A01!$C$74,[38]A01!$F$74,[38]A32!$B$186:$B$187,[38]A32!$E$186:$E$187)</f>
        <v>29</v>
      </c>
      <c r="DD9" s="608">
        <f>SUM([39]A01!$C$74,[39]A01!$F$74,[39]A32!$B$186:$B$187,[39]A32!$E$186:$E$187)</f>
        <v>26</v>
      </c>
      <c r="DE9" s="608">
        <f>SUM([40]A01!$C$74,[40]A01!$F$74,[40]A32!$B$186:$B$187,[40]A32!$E$186:$E$187)</f>
        <v>15</v>
      </c>
      <c r="DF9" s="608">
        <f>SUM([41]A01!$C$74,[41]A01!$F$74,[41]A32!$B$186:$B$187,[41]A32!$E$186:$E$187)</f>
        <v>42</v>
      </c>
      <c r="DG9" s="608">
        <f>SUM([42]A01!$C$74,[42]A01!$F$74,[42]A32!$B$186:$B$187,[42]A32!$E$186:$E$187)</f>
        <v>56</v>
      </c>
      <c r="DH9" s="608">
        <f>SUM([43]A01!$C$74,[43]A01!$F$74,[43]A32!$B$186:$B$187,[43]A32!$E$186:$E$187)</f>
        <v>68</v>
      </c>
      <c r="DI9" s="608">
        <f>SUM([44]A01!$C$74,[44]A01!$F$74,[44]A32!$B$186:$B$187,[44]A32!$E$186:$E$187)</f>
        <v>45</v>
      </c>
      <c r="DJ9" s="608">
        <f>SUM([45]A01!$C$74,[45]A01!$F$74,[45]A32!$B$186:$B$187,[45]A32!$E$186:$E$187)</f>
        <v>41</v>
      </c>
      <c r="DK9" s="608">
        <f>SUM([46]A01!$C$74,[46]A01!$F$74,[46]A32!$B$186:$B$187,[46]A32!$E$186:$E$187)</f>
        <v>76</v>
      </c>
      <c r="DL9" s="608">
        <f>SUM([47]A01!$C$74,[47]A01!$F$74,[47]A32!$B$186:$B$187,[47]A32!$E$186:$E$187)</f>
        <v>67</v>
      </c>
      <c r="DM9" s="608">
        <f>SUM([48]A01!$C$74,[48]A01!$F$74,[48]A32!$B$186:$B$187,[48]A32!$E$186:$E$187)</f>
        <v>0</v>
      </c>
      <c r="DN9" s="608">
        <f>SUM([49]A01!$C$74,[49]A01!$F$74,[49]A32!$B$186:$B$187,[49]A32!$E$186:$E$187)</f>
        <v>0</v>
      </c>
      <c r="DO9" s="260">
        <f t="shared" si="7"/>
        <v>465</v>
      </c>
      <c r="DP9" s="254"/>
    </row>
    <row r="10" spans="2:214" s="256" customFormat="1" ht="12" x14ac:dyDescent="0.2">
      <c r="B10" s="261">
        <v>107357</v>
      </c>
      <c r="C10" s="149" t="s">
        <v>99</v>
      </c>
      <c r="E10" s="792">
        <f>SUM([50]A02!$H$21,[50]A02!$J$21,[50]A02!$L$21,[50]A02!$N$21,[50]A02!$P$21,[50]A02!$R$21,[50]A02!$T$21,[50]A02!$V$21,[50]A02!$X$21)</f>
        <v>68</v>
      </c>
      <c r="F10" s="792">
        <f>SUM([51]A02!$H$21,[51]A02!$J$21,[51]A02!$L$21,[51]A02!$N$21,[51]A02!$P$21,[51]A02!$R$21,[51]A02!$T$21,[51]A02!$V$21,[51]A02!$X$21)</f>
        <v>7</v>
      </c>
      <c r="G10" s="792">
        <f>SUM([52]A02!$H$21,[52]A02!$J$21,[52]A02!$L$21,[52]A02!$N$21,[52]A02!$P$21,[52]A02!$R$21,[52]A02!$T$21,[52]A02!$V$21,[52]A02!$X$21)</f>
        <v>88</v>
      </c>
      <c r="H10" s="792">
        <f>SUM([53]A02!$H$21,[53]A02!$J$21,[53]A02!$L$21,[53]A02!$N$21,[53]A02!$P$21,[53]A02!$R$21,[53]A02!$T$21,[53]A02!$V$21,[53]A02!$X$21)</f>
        <v>141</v>
      </c>
      <c r="I10" s="792">
        <f>SUM([54]A02!$H$21,[54]A02!$J$21,[54]A02!$L$21,[54]A02!$N$21,[54]A02!$P$21,[54]A02!$R$21,[54]A02!$T$21,[54]A02!$V$21,[54]A02!$X$21)</f>
        <v>82</v>
      </c>
      <c r="J10" s="792">
        <f>SUM([55]A02!$H$21,[55]A02!$J$21,[55]A02!$L$21,[55]A02!$N$21,[55]A02!$P$21,[55]A02!$R$21,[55]A02!$T$21,[55]A02!$V$21,[55]A02!$X$21)</f>
        <v>60</v>
      </c>
      <c r="K10" s="792">
        <f>SUM([56]A02!$H$21,[56]A02!$J$21,[56]A02!$L$21,[56]A02!$N$21,[56]A02!$P$21,[56]A02!$R$21,[56]A02!$T$21,[56]A02!$V$21,[56]A02!$X$21)</f>
        <v>23</v>
      </c>
      <c r="L10" s="792">
        <f>SUM([57]A02!$H$21,[57]A02!$J$21,[57]A02!$L$21,[57]A02!$N$21,[57]A02!$P$21,[57]A02!$R$21,[57]A02!$T$21,[57]A02!$V$21,[57]A02!$X$21)</f>
        <v>23</v>
      </c>
      <c r="M10" s="792">
        <f>SUM([58]A02!$H$21,[58]A02!$J$21,[58]A02!$L$21,[58]A02!$N$21,[58]A02!$P$21,[58]A02!$R$21,[58]A02!$T$21,[58]A02!$V$21,[58]A02!$X$21)</f>
        <v>33</v>
      </c>
      <c r="N10" s="792">
        <f>SUM([59]A02!$H$21,[59]A02!$J$21,[59]A02!$L$21,[59]A02!$N$21,[59]A02!$P$21,[59]A02!$R$21,[59]A02!$T$21,[59]A02!$V$21,[59]A02!$X$21)</f>
        <v>34</v>
      </c>
      <c r="O10" s="792">
        <f>SUM([60]A02!$H$21,[60]A02!$J$21,[60]A02!$L$21,[60]A02!$N$21,[60]A02!$P$21,[60]A02!$R$21,[60]A02!$T$21,[60]A02!$V$21,[60]A02!$X$21)</f>
        <v>0</v>
      </c>
      <c r="P10" s="792">
        <f>SUM([61]A02!$H$21,[61]A02!$J$21,[61]A02!$L$21,[61]A02!$N$21,[61]A02!$P$21,[61]A02!$R$21,[61]A02!$T$21,[61]A02!$V$21,[61]A02!$X$21)</f>
        <v>0</v>
      </c>
      <c r="Q10" s="260">
        <f t="shared" si="0"/>
        <v>559</v>
      </c>
      <c r="R10" s="732"/>
      <c r="S10" s="608">
        <f>SUM([50]A02!$G$21,[50]A02!$I$21,[50]A02!$K$21,[50]A02!$M$21,[50]A02!$O$21,[50]A02!$Q$21,[50]A02!$S$21,[50]A02!$U$21,[50]A02!$W$21)</f>
        <v>27</v>
      </c>
      <c r="T10" s="608">
        <f>SUM([51]A02!$G$21,[51]A02!$I$21,[51]A02!$K$21,[51]A02!$M$21,[51]A02!$O$21,[51]A02!$Q$21,[51]A02!$S$21,[51]A02!$U$21,[51]A02!$W$21)</f>
        <v>3</v>
      </c>
      <c r="U10" s="608">
        <f>SUM([52]A02!$G$21,[52]A02!$I$21,[52]A02!$K$21,[52]A02!$M$21,[52]A02!$O$21,[52]A02!$Q$21,[52]A02!$S$21,[52]A02!$U$21,[52]A02!$W$21)</f>
        <v>15</v>
      </c>
      <c r="V10" s="608">
        <f>SUM([53]A02!$G$21,[53]A02!$I$21,[53]A02!$K$21,[53]A02!$M$21,[53]A02!$O$21,[53]A02!$Q$21,[53]A02!$S$21,[53]A02!$U$21,[53]A02!$W$21)</f>
        <v>64</v>
      </c>
      <c r="W10" s="608">
        <f>SUM([54]A02!$G$21,[54]A02!$I$21,[54]A02!$K$21,[54]A02!$M$21,[54]A02!$O$21,[54]A02!$Q$21,[54]A02!$S$21,[54]A02!$U$21,[54]A02!$W$21)</f>
        <v>41</v>
      </c>
      <c r="X10" s="608">
        <f>SUM([55]A02!$G$21,[55]A02!$I$21,[55]A02!$K$21,[55]A02!$M$21,[55]A02!$O$21,[55]A02!$Q$21,[55]A02!$S$21,[55]A02!$U$21,[55]A02!$W$21)</f>
        <v>38</v>
      </c>
      <c r="Y10" s="608">
        <f>SUM([56]A02!$G$21,[56]A02!$I$21,[56]A02!$K$21,[56]A02!$M$21,[56]A02!$O$21,[56]A02!$Q$21,[56]A02!$S$21,[56]A02!$U$21,[56]A02!$W$21)</f>
        <v>11</v>
      </c>
      <c r="Z10" s="608">
        <f>SUM([57]A02!$G$21,[57]A02!$I$21,[57]A02!$K$21,[57]A02!$M$21,[57]A02!$O$21,[57]A02!$Q$21,[57]A02!$S$21,[57]A02!$U$21,[57]A02!$W$21)</f>
        <v>20</v>
      </c>
      <c r="AA10" s="608">
        <f>SUM([58]A02!$G$21,[58]A02!$I$21,[58]A02!$K$21,[58]A02!$M$21,[58]A02!$O$21,[58]A02!$Q$21,[58]A02!$S$21,[58]A02!$U$21,[58]A02!$W$21)</f>
        <v>19</v>
      </c>
      <c r="AB10" s="608">
        <f>SUM([59]A02!$G$21,[59]A02!$I$21,[59]A02!$K$21,[59]A02!$M$21,[59]A02!$O$21,[59]A02!$Q$21,[59]A02!$S$21,[59]A02!$U$21,[59]A02!$W$21)</f>
        <v>35</v>
      </c>
      <c r="AC10" s="608">
        <f>SUM([60]A02!$G$21,[60]A02!$I$21,[60]A02!$K$21,[60]A02!$M$21,[60]A02!$O$21,[60]A02!$Q$21,[60]A02!$S$21,[60]A02!$U$21,[60]A02!$W$21)</f>
        <v>0</v>
      </c>
      <c r="AD10" s="608">
        <f>SUM([61]A02!$G$21,[61]A02!$I$21,[61]A02!$K$21,[61]A02!$M$21,[61]A02!$O$21,[61]A02!$Q$21,[61]A02!$S$21,[61]A02!$U$21,[61]A02!$W$21)</f>
        <v>0</v>
      </c>
      <c r="AE10" s="260">
        <f t="shared" si="1"/>
        <v>273</v>
      </c>
      <c r="AF10" s="732"/>
      <c r="AG10" s="732"/>
      <c r="AH10" s="732"/>
      <c r="AI10" s="254"/>
      <c r="AJ10" s="254"/>
      <c r="AK10" s="254"/>
      <c r="AL10" s="608">
        <f>SUM([50]A02!$Y$21:$AF$21)</f>
        <v>195</v>
      </c>
      <c r="AM10" s="608">
        <f>SUM([51]A02!$Y$21:$AF$21)</f>
        <v>54</v>
      </c>
      <c r="AN10" s="608">
        <f>SUM([52]A02!$Y$21:$AF$21)</f>
        <v>38</v>
      </c>
      <c r="AO10" s="608">
        <f>SUM([53]A02!$Y$21:$AF$21)</f>
        <v>79</v>
      </c>
      <c r="AP10" s="608">
        <f>SUM([54]A02!$Y$21:$AF$21)</f>
        <v>117</v>
      </c>
      <c r="AQ10" s="608">
        <f>SUM([55]A02!$Y$21:$AF$21)</f>
        <v>99</v>
      </c>
      <c r="AR10" s="608">
        <f>SUM([56]A02!$Y$21:$AF$21)</f>
        <v>80</v>
      </c>
      <c r="AS10" s="608">
        <f>SUM([57]A02!$Y$21:$AF$21)</f>
        <v>61</v>
      </c>
      <c r="AT10" s="608">
        <f>SUM([58]A02!$Y$21:$AF$21)</f>
        <v>132</v>
      </c>
      <c r="AU10" s="608">
        <f>SUM([59]A02!$Y$21:$AF$21)</f>
        <v>72</v>
      </c>
      <c r="AV10" s="608">
        <f>SUM([60]A02!$Y$21:$AF$21)</f>
        <v>0</v>
      </c>
      <c r="AW10" s="608">
        <f>SUM([61]A02!$Y$21:$AF$21)</f>
        <v>0</v>
      </c>
      <c r="AX10" s="260">
        <f t="shared" si="2"/>
        <v>927</v>
      </c>
      <c r="AY10" s="254"/>
      <c r="AZ10" s="608">
        <f>[50]A05!$C$13</f>
        <v>16</v>
      </c>
      <c r="BA10" s="608">
        <f>[51]A05!$C$13</f>
        <v>17</v>
      </c>
      <c r="BB10" s="608">
        <f>[52]A05!$C$13</f>
        <v>11</v>
      </c>
      <c r="BC10" s="608">
        <f>[53]A05!$C$13</f>
        <v>5</v>
      </c>
      <c r="BD10" s="608">
        <f>[54]A05!$C$13</f>
        <v>6</v>
      </c>
      <c r="BE10" s="608">
        <f>[55]A05!$C$13</f>
        <v>14</v>
      </c>
      <c r="BF10" s="608">
        <f>[56]A05!$C$13</f>
        <v>8</v>
      </c>
      <c r="BG10" s="608">
        <f>[57]A05!$C$13</f>
        <v>20</v>
      </c>
      <c r="BH10" s="608">
        <f>[58]A05!$C$13</f>
        <v>13</v>
      </c>
      <c r="BI10" s="608">
        <f>[59]A05!$C$13</f>
        <v>17</v>
      </c>
      <c r="BJ10" s="608">
        <f>SUM([60]A02!$Y$21:$AF$21)</f>
        <v>0</v>
      </c>
      <c r="BK10" s="608">
        <f>SUM([61]A02!$Y$21:$AF$21)</f>
        <v>0</v>
      </c>
      <c r="BL10" s="260">
        <f t="shared" si="3"/>
        <v>127</v>
      </c>
      <c r="BM10" s="254"/>
      <c r="BN10" s="608">
        <f>[50]A05!$C$11</f>
        <v>16</v>
      </c>
      <c r="BO10" s="608">
        <f>[51]A05!$C$11</f>
        <v>17</v>
      </c>
      <c r="BP10" s="608">
        <f>[52]A05!$C$11</f>
        <v>12</v>
      </c>
      <c r="BQ10" s="608">
        <f>[53]A05!$C$11</f>
        <v>8</v>
      </c>
      <c r="BR10" s="608">
        <f>[54]A05!$C$11</f>
        <v>12</v>
      </c>
      <c r="BS10" s="608">
        <f>[55]A05!$C$11</f>
        <v>16</v>
      </c>
      <c r="BT10" s="608">
        <f>[56]A05!$C$11</f>
        <v>10</v>
      </c>
      <c r="BU10" s="608">
        <f>[57]A05!$C$11</f>
        <v>20</v>
      </c>
      <c r="BV10" s="608">
        <f>[58]A05!$C$11</f>
        <v>16</v>
      </c>
      <c r="BW10" s="608">
        <f>[59]A05!$C$11</f>
        <v>18</v>
      </c>
      <c r="BX10" s="608">
        <f>[60]A05!$C$11</f>
        <v>0</v>
      </c>
      <c r="BY10" s="608">
        <f>[60]A05!$C$11</f>
        <v>0</v>
      </c>
      <c r="BZ10" s="260">
        <f t="shared" si="4"/>
        <v>145</v>
      </c>
      <c r="CB10" s="608">
        <f>SUM([50]A03!$J$21:$M$24)</f>
        <v>14</v>
      </c>
      <c r="CC10" s="608">
        <f>SUM([51]A03!$J$21:$M$24)</f>
        <v>10</v>
      </c>
      <c r="CD10" s="608">
        <f>SUM([52]A03!$J$21:$M$24)</f>
        <v>11</v>
      </c>
      <c r="CE10" s="608">
        <f>SUM([53]A03!$J$21:$M$24)</f>
        <v>10</v>
      </c>
      <c r="CF10" s="608">
        <f>SUM([54]A03!$J$21:$M$24)</f>
        <v>3</v>
      </c>
      <c r="CG10" s="608">
        <f>SUM([55]A03!$J$21:$M$24)</f>
        <v>20</v>
      </c>
      <c r="CH10" s="608">
        <f>SUM([56]A03!$J$21:$M$24)</f>
        <v>4</v>
      </c>
      <c r="CI10" s="608">
        <f>SUM([57]A03!$J$21:$M$24)</f>
        <v>22</v>
      </c>
      <c r="CJ10" s="608">
        <f>SUM([58]A03!$J$21:$M$24)</f>
        <v>20</v>
      </c>
      <c r="CK10" s="608">
        <f>SUM([59]A03!$J$21:$M$24)</f>
        <v>14</v>
      </c>
      <c r="CL10" s="608">
        <f>SUM([60]A03!$J$21:$M$24)</f>
        <v>0</v>
      </c>
      <c r="CM10" s="608">
        <f>SUM([61]A03!$J$21:$M$24)</f>
        <v>0</v>
      </c>
      <c r="CN10" s="260">
        <f t="shared" si="5"/>
        <v>128</v>
      </c>
      <c r="CO10" s="254"/>
      <c r="CP10" s="608">
        <f>SUM([50]A26!$C$10:$C$35,[50]A26!$C$40:$E$41,[50]A33!$B$44)</f>
        <v>84</v>
      </c>
      <c r="CQ10" s="608">
        <f>SUM([51]A26!$C$10:$C$35,[51]A26!$C$40:$E$41,[51]A33!$B$44)</f>
        <v>37</v>
      </c>
      <c r="CR10" s="608">
        <f>SUM([52]A26!$C$10:$C$35,[52]A26!$C$40:$E$41,[52]A33!$B$44)</f>
        <v>72</v>
      </c>
      <c r="CS10" s="608">
        <f>SUM([53]A26!$C$10:$C$35,[53]A26!$C$40:$E$41,[53]A33!$B$44)</f>
        <v>38</v>
      </c>
      <c r="CT10" s="608">
        <f>SUM([54]A26!$C$10:$C$35,[54]A26!$C$40:$E$41,[54]A33!$B$44)</f>
        <v>31</v>
      </c>
      <c r="CU10" s="608">
        <f>SUM([55]A26!$C$10:$C$35,[55]A26!$C$40:$E$41,[55]A33!$B$44)</f>
        <v>21</v>
      </c>
      <c r="CV10" s="608">
        <f>SUM([56]A26!$C$10:$C$35,[56]A26!$C$40:$E$41,[56]A33!$B$44)</f>
        <v>11</v>
      </c>
      <c r="CW10" s="608">
        <f>SUM([57]A26!$C$10:$C$35,[57]A26!$C$40:$E$41,[57]A33!$B$44)</f>
        <v>16</v>
      </c>
      <c r="CX10" s="608">
        <f>SUM([58]A26!$C$10:$C$35,[58]A26!$C$40:$E$41,[58]A33!$B$44)</f>
        <v>33</v>
      </c>
      <c r="CY10" s="608">
        <f>SUM([59]A26!$C$10:$C$35,[59]A26!$C$40:$E$41,[59]A33!$B$44)</f>
        <v>38</v>
      </c>
      <c r="CZ10" s="608">
        <f>SUM([60]A26!$C$10:$C$35,[60]A26!$C$40:$E$41,[60]A33!$B$44)</f>
        <v>0</v>
      </c>
      <c r="DA10" s="608">
        <f>SUM([61]A26!$C$10:$C$35,[61]A26!$C$40:$E$41,[61]A33!$B$44)</f>
        <v>0</v>
      </c>
      <c r="DB10" s="260">
        <f t="shared" si="6"/>
        <v>381</v>
      </c>
      <c r="DC10" s="789">
        <f>SUM([50]A01!$C$74,[50]A01!$F$74,[50]A32!$B$186:$B$187,[50]A32!$E$186:$E$187)</f>
        <v>18</v>
      </c>
      <c r="DD10" s="608">
        <f>SUM([51]A01!$C$74,[51]A01!$F$74,[51]A32!$B$186:$B$187,[51]A32!$E$186:$E$187)</f>
        <v>10</v>
      </c>
      <c r="DE10" s="608">
        <f>SUM([52]A01!$C$74,[52]A01!$F$74,[52]A32!$B$186:$B$187,[52]A32!$E$186:$E$187)</f>
        <v>22</v>
      </c>
      <c r="DF10" s="608">
        <f>SUM([53]A01!$C$74,[53]A01!$F$74,[53]A32!$B$186:$B$187,[53]A32!$E$186:$E$187)</f>
        <v>23</v>
      </c>
      <c r="DG10" s="608">
        <f>SUM([54]A01!$C$74,[54]A01!$F$74,[54]A32!$B$186:$B$187,[54]A32!$E$186:$E$187)</f>
        <v>51</v>
      </c>
      <c r="DH10" s="608">
        <f>SUM([55]A01!$C$74,[55]A01!$F$74,[55]A32!$B$186:$B$187,[55]A32!$E$186:$E$187)</f>
        <v>88</v>
      </c>
      <c r="DI10" s="608">
        <f>SUM([56]A01!$C$74,[56]A01!$F$74,[56]A32!$B$186:$B$187,[56]A32!$E$186:$E$187)</f>
        <v>36</v>
      </c>
      <c r="DJ10" s="608">
        <f>SUM([57]A01!$C$74,[57]A01!$F$74,[57]A32!$B$186:$B$187,[57]A32!$E$186:$E$187)</f>
        <v>46</v>
      </c>
      <c r="DK10" s="608">
        <f>SUM([58]A01!$C$74,[58]A01!$F$74,[58]A32!$B$186:$B$187,[58]A32!$E$186:$E$187)</f>
        <v>46</v>
      </c>
      <c r="DL10" s="608">
        <f>SUM([59]A01!$C$74,[59]A01!$F$74,[59]A32!$B$186:$B$187,[59]A32!$E$186:$E$187)</f>
        <v>76</v>
      </c>
      <c r="DM10" s="608">
        <f>SUM([60]A01!$C$74,[60]A01!$F$74,[60]A32!$B$186:$B$187,[60]A32!$E$186:$E$187)</f>
        <v>0</v>
      </c>
      <c r="DN10" s="608">
        <f>SUM([61]A01!$C$74,[61]A01!$F$74,[61]A32!$B$186:$B$187,[61]A32!$E$186:$E$187)</f>
        <v>0</v>
      </c>
      <c r="DO10" s="260">
        <f t="shared" si="7"/>
        <v>416</v>
      </c>
      <c r="DP10" s="254"/>
    </row>
    <row r="11" spans="2:214" s="256" customFormat="1" ht="12" x14ac:dyDescent="0.2">
      <c r="B11" s="261">
        <v>107400</v>
      </c>
      <c r="C11" s="149" t="s">
        <v>100</v>
      </c>
      <c r="E11" s="792">
        <f>SUM([62]A02!$H$21,[62]A02!$J$21,[62]A02!$L$21,[62]A02!$N$21,[62]A02!$P$21,[62]A02!$R$21,[62]A02!$T$21,[62]A02!$V$21,[62]A02!$X$21)</f>
        <v>0</v>
      </c>
      <c r="F11" s="792">
        <f>SUM([63]A02!$H$21,[63]A02!$J$21,[63]A02!$L$21,[63]A02!$N$21,[63]A02!$P$21,[63]A02!$R$21,[63]A02!$T$21,[63]A02!$V$21,[63]A02!$X$21)</f>
        <v>1</v>
      </c>
      <c r="G11" s="792">
        <f>SUM([64]A02!$H$21,[64]A02!$J$21,[64]A02!$L$21,[64]A02!$N$21,[64]A02!$P$21,[64]A02!$R$21,[64]A02!$T$21,[64]A02!$V$21,[64]A02!$X$21)</f>
        <v>1</v>
      </c>
      <c r="H11" s="792">
        <f>SUM([65]A02!$H$21,[65]A02!$J$21,[65]A02!$L$21,[65]A02!$N$21,[65]A02!$P$21,[65]A02!$R$21,[65]A02!$T$21,[65]A02!$V$21,[65]A02!$X$21)</f>
        <v>2</v>
      </c>
      <c r="I11" s="792">
        <f>SUM([66]A02!$H$21,[66]A02!$J$21,[66]A02!$L$21,[66]A02!$N$21,[66]A02!$P$21,[66]A02!$R$21,[66]A02!$T$21,[66]A02!$V$21,[66]A02!$X$21)</f>
        <v>1</v>
      </c>
      <c r="J11" s="792">
        <f>SUM([67]A02!$H$21,[67]A02!$J$21,[67]A02!$L$21,[67]A02!$N$21,[67]A02!$P$21,[67]A02!$R$21,[67]A02!$T$21,[67]A02!$V$21,[67]A02!$X$21)</f>
        <v>2</v>
      </c>
      <c r="K11" s="792">
        <f>SUM([68]A02!$H$21,[68]A02!$J$21,[68]A02!$L$21,[68]A02!$N$21,[68]A02!$P$21,[68]A02!$R$21,[68]A02!$T$21,[68]A02!$V$21,[68]A02!$X$21)</f>
        <v>0</v>
      </c>
      <c r="L11" s="792">
        <f>SUM([69]A02!$H$21,[69]A02!$J$21,[69]A02!$L$21,[69]A02!$N$21,[69]A02!$P$21,[69]A02!$R$21,[69]A02!$T$21,[69]A02!$V$21,[69]A02!$X$21)</f>
        <v>1</v>
      </c>
      <c r="M11" s="792">
        <f>SUM([70]A02!$H$21,[70]A02!$J$21,[70]A02!$L$21,[70]A02!$N$21,[70]A02!$P$21,[70]A02!$R$21,[70]A02!$T$21,[70]A02!$V$21,[70]A02!$X$21)</f>
        <v>0</v>
      </c>
      <c r="N11" s="792">
        <f>SUM([71]A02!$H$21,[71]A02!$J$21,[71]A02!$L$21,[71]A02!$N$21,[71]A02!$P$21,[71]A02!$R$21,[71]A02!$T$21,[71]A02!$V$21,[71]A02!$X$21)</f>
        <v>1</v>
      </c>
      <c r="O11" s="792">
        <f>SUM([72]A02!$H$21,[72]A02!$J$21,[72]A02!$L$21,[72]A02!$N$21,[72]A02!$P$21,[72]A02!$R$21,[72]A02!$T$21,[72]A02!$V$21,[72]A02!$X$21)</f>
        <v>0</v>
      </c>
      <c r="P11" s="792">
        <f>SUM([73]A02!$H$21,[73]A02!$J$21,[73]A02!$L$21,[73]A02!$N$21,[73]A02!$P$21,[73]A02!$R$21,[73]A02!$T$21,[73]A02!$V$21,[73]A02!$X$21)</f>
        <v>0</v>
      </c>
      <c r="Q11" s="260">
        <f t="shared" si="0"/>
        <v>9</v>
      </c>
      <c r="R11" s="732"/>
      <c r="S11" s="608">
        <f>SUM([62]A02!$G$21,[62]A02!$I$21,[62]A02!$K$21,[62]A02!$M$21,[62]A02!$O$21,[62]A02!$Q$21,[62]A02!$S$21,[62]A02!$U$21,[62]A02!$W$21)</f>
        <v>0</v>
      </c>
      <c r="T11" s="608">
        <f>SUM([63]A02!$G$21,[63]A02!$I$21,[63]A02!$K$21,[63]A02!$M$21,[63]A02!$O$21,[63]A02!$Q$21,[63]A02!$S$21,[63]A02!$U$21,[63]A02!$W$21)</f>
        <v>0</v>
      </c>
      <c r="U11" s="608">
        <f>SUM([64]A02!$G$21,[64]A02!$I$21,[64]A02!$K$21,[64]A02!$M$21,[64]A02!$O$21,[64]A02!$Q$21,[64]A02!$S$21,[64]A02!$U$21,[64]A02!$W$21)</f>
        <v>1</v>
      </c>
      <c r="V11" s="608">
        <f>SUM([65]A02!$G$21,[65]A02!$I$21,[65]A02!$K$21,[65]A02!$M$21,[65]A02!$O$21,[65]A02!$Q$21,[65]A02!$S$21,[65]A02!$U$21,[65]A02!$W$21)</f>
        <v>3</v>
      </c>
      <c r="W11" s="608">
        <f>SUM([66]A02!$G$21,[66]A02!$I$21,[66]A02!$K$21,[66]A02!$M$21,[66]A02!$O$21,[66]A02!$Q$21,[66]A02!$S$21,[66]A02!$U$21,[66]A02!$W$21)</f>
        <v>1</v>
      </c>
      <c r="X11" s="608">
        <f>SUM([67]A02!$G$21,[67]A02!$I$21,[67]A02!$K$21,[67]A02!$M$21,[67]A02!$O$21,[67]A02!$Q$21,[67]A02!$S$21,[67]A02!$U$21,[67]A02!$W$21)</f>
        <v>1</v>
      </c>
      <c r="Y11" s="608">
        <f>SUM([68]A02!$G$21,[68]A02!$I$21,[68]A02!$K$21,[68]A02!$M$21,[68]A02!$O$21,[68]A02!$Q$21,[68]A02!$S$21,[68]A02!$U$21,[68]A02!$W$21)</f>
        <v>4</v>
      </c>
      <c r="Z11" s="608">
        <f>SUM([69]A02!$G$21,[69]A02!$I$21,[69]A02!$K$21,[69]A02!$M$21,[69]A02!$O$21,[69]A02!$Q$21,[69]A02!$S$21,[69]A02!$U$21,[69]A02!$W$21)</f>
        <v>0</v>
      </c>
      <c r="AA11" s="608">
        <f>SUM([70]A02!$G$21,[70]A02!$I$21,[70]A02!$K$21,[70]A02!$M$21,[70]A02!$O$21,[70]A02!$Q$21,[70]A02!$S$21,[70]A02!$U$21,[70]A02!$W$21)</f>
        <v>1</v>
      </c>
      <c r="AB11" s="608">
        <f>SUM([71]A02!$G$21,[71]A02!$I$21,[71]A02!$K$21,[71]A02!$M$21,[71]A02!$O$21,[71]A02!$Q$21,[71]A02!$S$21,[71]A02!$U$21,[71]A02!$W$21)</f>
        <v>2</v>
      </c>
      <c r="AC11" s="608">
        <f>SUM([72]A02!$G$21,[72]A02!$I$21,[72]A02!$K$21,[72]A02!$M$21,[72]A02!$O$21,[72]A02!$Q$21,[72]A02!$S$21,[72]A02!$U$21,[72]A02!$W$21)</f>
        <v>0</v>
      </c>
      <c r="AD11" s="608">
        <f>SUM([73]A02!$G$21,[73]A02!$I$21,[73]A02!$K$21,[73]A02!$M$21,[73]A02!$O$21,[73]A02!$Q$21,[73]A02!$S$21,[73]A02!$U$21,[73]A02!$W$21)</f>
        <v>0</v>
      </c>
      <c r="AE11" s="260">
        <f t="shared" si="1"/>
        <v>13</v>
      </c>
      <c r="AF11" s="732"/>
      <c r="AG11" s="732"/>
      <c r="AH11" s="732"/>
      <c r="AI11" s="254"/>
      <c r="AJ11" s="254"/>
      <c r="AK11" s="254"/>
      <c r="AL11" s="608">
        <f>SUM([62]A02!$Y$21:$AF$21)</f>
        <v>10</v>
      </c>
      <c r="AM11" s="608">
        <f>SUM([63]A02!$Y$21:$AF$21)</f>
        <v>3</v>
      </c>
      <c r="AN11" s="608">
        <f>SUM([64]A02!$Y$21:$AF$21)</f>
        <v>3</v>
      </c>
      <c r="AO11" s="608">
        <f>SUM([65]A02!$Y$21:$AF$21)</f>
        <v>12</v>
      </c>
      <c r="AP11" s="608">
        <f>SUM([66]A02!$Y$21:$AF$21)</f>
        <v>9</v>
      </c>
      <c r="AQ11" s="608">
        <f>SUM([67]A02!$Y$21:$AF$21)</f>
        <v>3</v>
      </c>
      <c r="AR11" s="608">
        <f>SUM([68]A02!$Y$21:$AF$21)</f>
        <v>19</v>
      </c>
      <c r="AS11" s="608">
        <f>SUM([69]A02!$Y$21:$AF$21)</f>
        <v>0</v>
      </c>
      <c r="AT11" s="608">
        <f>SUM([70]A02!$Y$21:$AF$21)</f>
        <v>7</v>
      </c>
      <c r="AU11" s="608">
        <f>SUM([71]A02!$Y$21:$AF$21)</f>
        <v>1</v>
      </c>
      <c r="AV11" s="608">
        <f>SUM([72]A02!$Y$21:$AF$21)</f>
        <v>0</v>
      </c>
      <c r="AW11" s="608">
        <f>SUM([73]A02!$Y$21:$AF$21)</f>
        <v>0</v>
      </c>
      <c r="AX11" s="260">
        <f t="shared" si="2"/>
        <v>67</v>
      </c>
      <c r="AY11" s="254"/>
      <c r="AZ11" s="608">
        <f>[62]A05!$C$13</f>
        <v>0</v>
      </c>
      <c r="BA11" s="608">
        <f>[63]A05!$C$13</f>
        <v>1</v>
      </c>
      <c r="BB11" s="608">
        <f>[64]A05!$C$13</f>
        <v>0</v>
      </c>
      <c r="BC11" s="608">
        <f>[65]A05!$C$13</f>
        <v>0</v>
      </c>
      <c r="BD11" s="608">
        <f>[66]A05!$C$13</f>
        <v>0</v>
      </c>
      <c r="BE11" s="608">
        <f>[67]A05!$C$13</f>
        <v>0</v>
      </c>
      <c r="BF11" s="608">
        <f>[68]A05!$C$13</f>
        <v>0</v>
      </c>
      <c r="BG11" s="608">
        <f>[69]A05!$C$13</f>
        <v>0</v>
      </c>
      <c r="BH11" s="608">
        <f>[70]A05!$C$13</f>
        <v>0</v>
      </c>
      <c r="BI11" s="608">
        <f>[71]A05!$C$13</f>
        <v>0</v>
      </c>
      <c r="BJ11" s="608">
        <f>SUM([72]A02!$Y$21:$AF$21)</f>
        <v>0</v>
      </c>
      <c r="BK11" s="608">
        <f>SUM([73]A02!$Y$21:$AF$21)</f>
        <v>0</v>
      </c>
      <c r="BL11" s="260">
        <f t="shared" si="3"/>
        <v>1</v>
      </c>
      <c r="BM11" s="254"/>
      <c r="BN11" s="608">
        <f>[62]A05!$C$11</f>
        <v>0</v>
      </c>
      <c r="BO11" s="608">
        <f>[63]A05!$C$11</f>
        <v>1</v>
      </c>
      <c r="BP11" s="608">
        <f>[64]A05!$C$11</f>
        <v>0</v>
      </c>
      <c r="BQ11" s="608">
        <f>[65]A05!$C$11</f>
        <v>0</v>
      </c>
      <c r="BR11" s="608">
        <f>[66]A05!$C$11</f>
        <v>0</v>
      </c>
      <c r="BS11" s="608">
        <f>[67]A05!$C$11</f>
        <v>0</v>
      </c>
      <c r="BT11" s="608">
        <f>[68]A05!$C$11</f>
        <v>0</v>
      </c>
      <c r="BU11" s="608">
        <f>[69]A05!$C$11</f>
        <v>0</v>
      </c>
      <c r="BV11" s="608">
        <f>[70]A05!$C$11</f>
        <v>0</v>
      </c>
      <c r="BW11" s="608">
        <f>[71]A05!$C$11</f>
        <v>0</v>
      </c>
      <c r="BX11" s="608">
        <f>[72]A05!$C$11</f>
        <v>0</v>
      </c>
      <c r="BY11" s="608">
        <f>[72]A05!$C$11</f>
        <v>0</v>
      </c>
      <c r="BZ11" s="260">
        <f t="shared" si="4"/>
        <v>1</v>
      </c>
      <c r="CB11" s="608">
        <f>SUM([62]A03!$J$21:$M$24)</f>
        <v>0</v>
      </c>
      <c r="CC11" s="608">
        <f>SUM([63]A03!$J$21:$M$24)</f>
        <v>0</v>
      </c>
      <c r="CD11" s="608">
        <f>SUM([64]A03!$J$21:$M$24)</f>
        <v>1</v>
      </c>
      <c r="CE11" s="608">
        <f>SUM([65]A03!$J$21:$M$24)</f>
        <v>0</v>
      </c>
      <c r="CF11" s="608">
        <f>SUM([66]A03!$J$21:$M$24)</f>
        <v>0</v>
      </c>
      <c r="CG11" s="608">
        <f>SUM([67]A03!$J$21:$M$24)</f>
        <v>0</v>
      </c>
      <c r="CH11" s="608">
        <f>SUM([68]A03!$J$21:$M$24)</f>
        <v>0</v>
      </c>
      <c r="CI11" s="608">
        <f>SUM([69]A03!$J$21:$M$24)</f>
        <v>1</v>
      </c>
      <c r="CJ11" s="608">
        <f>SUM([70]A03!$J$21:$M$24)</f>
        <v>0</v>
      </c>
      <c r="CK11" s="608">
        <f>SUM([71]A03!$J$21:$M$24)</f>
        <v>0</v>
      </c>
      <c r="CL11" s="608">
        <f>SUM([72]A03!$J$21:$M$24)</f>
        <v>0</v>
      </c>
      <c r="CM11" s="608">
        <f>SUM([73]A03!$J$21:$M$24)</f>
        <v>0</v>
      </c>
      <c r="CN11" s="260">
        <f t="shared" si="5"/>
        <v>2</v>
      </c>
      <c r="CO11" s="254"/>
      <c r="CP11" s="608">
        <f>SUM([62]A26!$C$10:$C$35,[62]A26!$C$40:$E$41,[62]A33!$B$44)</f>
        <v>2</v>
      </c>
      <c r="CQ11" s="608">
        <f>SUM([63]A26!$C$10:$C$35,[63]A26!$C$40:$E$41,[63]A33!$B$44)</f>
        <v>0</v>
      </c>
      <c r="CR11" s="608">
        <f>SUM([64]A26!$C$10:$C$35,[64]A26!$C$40:$E$41,[64]A33!$B$44)</f>
        <v>1</v>
      </c>
      <c r="CS11" s="608">
        <f>SUM([65]A26!$C$10:$C$35,[65]A26!$C$40:$E$41,[65]A33!$B$44)</f>
        <v>3</v>
      </c>
      <c r="CT11" s="608">
        <f>SUM([66]A26!$C$10:$C$35,[66]A26!$C$40:$E$41,[66]A33!$B$44)</f>
        <v>0</v>
      </c>
      <c r="CU11" s="608">
        <f>SUM([67]A26!$C$10:$C$35,[67]A26!$C$40:$E$41,[67]A33!$B$44)</f>
        <v>0</v>
      </c>
      <c r="CV11" s="608">
        <f>SUM([68]A26!$C$10:$C$35,[68]A26!$C$40:$E$41,[68]A33!$B$44)</f>
        <v>0</v>
      </c>
      <c r="CW11" s="608">
        <f>SUM([69]A26!$C$10:$C$35,[69]A26!$C$40:$E$41,[69]A33!$B$44)</f>
        <v>2</v>
      </c>
      <c r="CX11" s="608">
        <f>SUM([70]A26!$C$10:$C$35,[70]A26!$C$40:$E$41,[70]A33!$B$44)</f>
        <v>0</v>
      </c>
      <c r="CY11" s="608">
        <f>SUM([71]A26!$C$10:$C$35,[71]A26!$C$40:$E$41,[71]A33!$B$44)</f>
        <v>0</v>
      </c>
      <c r="CZ11" s="608">
        <f>SUM([72]A26!$C$10:$C$35,[72]A26!$C$40:$E$41,[72]A33!$B$44)</f>
        <v>0</v>
      </c>
      <c r="DA11" s="608">
        <f>SUM([73]A26!$C$10:$C$35,[73]A26!$C$40:$E$41,[73]A33!$B$44)</f>
        <v>0</v>
      </c>
      <c r="DB11" s="260">
        <f t="shared" si="6"/>
        <v>8</v>
      </c>
      <c r="DC11" s="608">
        <f>SUM([62]A01!$C$74,[62]A01!$F$74,[62]A32!$B$186:$B$187,[62]A32!$E$186:$E$187)</f>
        <v>3</v>
      </c>
      <c r="DD11" s="608">
        <f>SUM([63]A01!$C$74,[63]A01!$F$74,[63]A32!$B$186:$B$187,[63]A32!$E$186:$E$187)</f>
        <v>0</v>
      </c>
      <c r="DE11" s="608">
        <f>SUM([64]A01!$C$74,[64]A01!$F$74,[64]A32!$B$186:$B$187,[64]A32!$E$186:$E$187)</f>
        <v>1</v>
      </c>
      <c r="DF11" s="608">
        <f>SUM([65]A01!$C$74,[65]A01!$F$74,[65]A32!$B$186:$B$187,[65]A32!$E$186:$E$187)</f>
        <v>0</v>
      </c>
      <c r="DG11" s="608">
        <f>SUM([66]A01!$C$74,[66]A01!$F$74,[66]A32!$B$186:$B$187,[66]A32!$E$186:$E$187)</f>
        <v>0</v>
      </c>
      <c r="DH11" s="608">
        <f>SUM([67]A01!$C$74,[67]A01!$F$74,[67]A32!$B$186:$B$187,[67]A32!$E$186:$E$187)</f>
        <v>0</v>
      </c>
      <c r="DI11" s="608">
        <f>SUM([68]A01!$C$74,[68]A01!$F$74,[68]A32!$B$186:$B$187,[68]A32!$E$186:$E$187)</f>
        <v>0</v>
      </c>
      <c r="DJ11" s="608">
        <f>SUM([69]A01!$C$74,[69]A01!$F$74,[69]A32!$B$186:$B$187,[69]A32!$E$186:$E$187)</f>
        <v>2</v>
      </c>
      <c r="DK11" s="608">
        <f>SUM([70]A01!$C$74,[70]A01!$F$74,[70]A32!$B$186:$B$187,[70]A32!$E$186:$E$187)</f>
        <v>0</v>
      </c>
      <c r="DL11" s="608">
        <f>SUM([71]A01!$C$74,[71]A01!$F$74,[71]A32!$B$186:$B$187,[71]A32!$E$186:$E$187)</f>
        <v>0</v>
      </c>
      <c r="DM11" s="608">
        <f>SUM([72]A01!$C$74,[72]A01!$F$74,[72]A32!$B$186:$B$187,[72]A32!$E$186:$E$187)</f>
        <v>0</v>
      </c>
      <c r="DN11" s="608">
        <f>SUM([73]A01!$C$74,[73]A01!$F$74,[73]A32!$B$186:$B$187,[73]A32!$E$186:$E$187)</f>
        <v>0</v>
      </c>
      <c r="DO11" s="260">
        <f t="shared" si="7"/>
        <v>6</v>
      </c>
      <c r="DP11" s="254"/>
    </row>
    <row r="12" spans="2:214" s="256" customFormat="1" thickBot="1" x14ac:dyDescent="0.25">
      <c r="B12" s="263">
        <v>107756</v>
      </c>
      <c r="C12" s="151" t="s">
        <v>101</v>
      </c>
      <c r="D12" s="262"/>
      <c r="E12" s="792">
        <f>SUM([74]A02!$H$21,[74]A02!$J$21,[74]A02!$L$21,[74]A02!$N$21,[74]A02!$P$21,[74]A02!$R$21,[74]A02!$T$21,[74]A02!$V$21,[74]A02!$X$21)</f>
        <v>4</v>
      </c>
      <c r="F12" s="792">
        <f>SUM([75]A02!$H$21,[75]A02!$J$21,[75]A02!$L$21,[75]A02!$N$21,[75]A02!$P$21,[75]A02!$R$21,[75]A02!$T$21,[75]A02!$V$21,[75]A02!$X$21)</f>
        <v>3</v>
      </c>
      <c r="G12" s="792">
        <f>SUM([76]A02!$H$21,[76]A02!$J$21,[76]A02!$L$21,[76]A02!$N$21,[76]A02!$P$21,[76]A02!$R$21,[76]A02!$T$21,[76]A02!$V$21,[76]A02!$X$21)</f>
        <v>7</v>
      </c>
      <c r="H12" s="792">
        <f>SUM([77]A02!$H$21,[77]A02!$J$21,[77]A02!$L$21,[77]A02!$N$21,[77]A02!$P$21,[77]A02!$R$21,[77]A02!$T$21,[77]A02!$V$21,[77]A02!$X$21)</f>
        <v>0</v>
      </c>
      <c r="I12" s="792">
        <f>SUM([78]A02!$H$21,[78]A02!$J$21,[78]A02!$L$21,[78]A02!$N$21,[78]A02!$P$21,[78]A02!$R$21,[78]A02!$T$21,[78]A02!$V$21,[78]A02!$X$21)</f>
        <v>1</v>
      </c>
      <c r="J12" s="792">
        <f>SUM([79]A02!$H$21,[79]A02!$J$21,[79]A02!$L$21,[79]A02!$N$21,[79]A02!$P$21,[79]A02!$R$21,[79]A02!$T$21,[79]A02!$V$21,[79]A02!$X$21)</f>
        <v>15</v>
      </c>
      <c r="K12" s="792">
        <f>SUM([80]A02!$H$21,[80]A02!$J$21,[80]A02!$L$21,[80]A02!$N$21,[80]A02!$P$21,[80]A02!$R$21,[80]A02!$T$21,[80]A02!$V$21,[80]A02!$X$21)</f>
        <v>15</v>
      </c>
      <c r="L12" s="792">
        <f>SUM([81]A02!$H$21,[81]A02!$J$21,[81]A02!$L$21,[81]A02!$N$21,[81]A02!$P$21,[81]A02!$R$21,[81]A02!$T$21,[81]A02!$V$21,[81]A02!$X$21)</f>
        <v>5</v>
      </c>
      <c r="M12" s="792">
        <f>SUM([82]A02!$H$21,[82]A02!$J$21,[82]A02!$L$21,[82]A02!$N$21,[82]A02!$P$21,[82]A02!$R$21,[82]A02!$T$21,[82]A02!$V$21,[82]A02!$X$21)</f>
        <v>6</v>
      </c>
      <c r="N12" s="792">
        <f>SUM([83]A02!$H$21,[83]A02!$J$21,[83]A02!$L$21,[83]A02!$N$21,[83]A02!$P$21,[83]A02!$R$21,[83]A02!$T$21,[83]A02!$V$21,[83]A02!$X$21)</f>
        <v>5</v>
      </c>
      <c r="O12" s="792">
        <f>SUM([84]A02!$H$21,[84]A02!$J$21,[84]A02!$L$21,[84]A02!$N$21,[84]A02!$P$21,[84]A02!$R$21,[84]A02!$T$21,[84]A02!$V$21,[84]A02!$X$21)</f>
        <v>0</v>
      </c>
      <c r="P12" s="792">
        <f>SUM([85]A02!$H$21,[85]A02!$J$21,[85]A02!$L$21,[85]A02!$N$21,[85]A02!$P$21,[85]A02!$R$21,[85]A02!$T$21,[85]A02!$V$21,[85]A02!$X$21)</f>
        <v>0</v>
      </c>
      <c r="Q12" s="260">
        <f t="shared" si="0"/>
        <v>61</v>
      </c>
      <c r="R12" s="732"/>
      <c r="S12" s="608">
        <f>SUM([74]A02!$G$21,[74]A02!$I$21,[74]A02!$K$21,[74]A02!$M$21,[74]A02!$O$21,[74]A02!$Q$21,[74]A02!$S$21,[74]A02!$U$21,[74]A02!$W$21)</f>
        <v>1</v>
      </c>
      <c r="T12" s="608">
        <f>SUM([75]A02!$G$21,[75]A02!$I$21,[75]A02!$K$21,[75]A02!$M$21,[75]A02!$O$21,[75]A02!$Q$21,[75]A02!$S$21,[75]A02!$U$21,[75]A02!$W$21)</f>
        <v>0</v>
      </c>
      <c r="U12" s="608">
        <f>SUM([76]A02!$G$21,[76]A02!$I$21,[76]A02!$K$21,[76]A02!$M$21,[76]A02!$O$21,[76]A02!$Q$21,[76]A02!$S$21,[76]A02!$U$21,[76]A02!$W$21)</f>
        <v>2</v>
      </c>
      <c r="V12" s="608">
        <f>SUM([77]A02!$G$21,[77]A02!$I$21,[77]A02!$K$21,[77]A02!$M$21,[77]A02!$O$21,[77]A02!$Q$21,[77]A02!$S$21,[77]A02!$U$21,[77]A02!$W$21)</f>
        <v>1</v>
      </c>
      <c r="W12" s="608">
        <f>SUM([78]A02!$G$21,[78]A02!$I$21,[78]A02!$K$21,[78]A02!$M$21,[78]A02!$O$21,[78]A02!$Q$21,[78]A02!$S$21,[78]A02!$U$21,[78]A02!$W$21)</f>
        <v>0</v>
      </c>
      <c r="X12" s="608">
        <f>SUM([79]A02!$G$21,[79]A02!$I$21,[79]A02!$K$21,[79]A02!$M$21,[79]A02!$O$21,[79]A02!$Q$21,[79]A02!$S$21,[79]A02!$U$21,[79]A02!$W$21)</f>
        <v>3</v>
      </c>
      <c r="Y12" s="608">
        <f>SUM([80]A02!$G$21,[80]A02!$I$21,[80]A02!$K$21,[80]A02!$M$21,[80]A02!$O$21,[80]A02!$Q$21,[80]A02!$S$21,[80]A02!$U$21,[80]A02!$W$21)</f>
        <v>5</v>
      </c>
      <c r="Z12" s="608">
        <f>SUM([81]A02!$G$21,[81]A02!$I$21,[81]A02!$K$21,[81]A02!$M$21,[81]A02!$O$21,[81]A02!$Q$21,[81]A02!$S$21,[81]A02!$U$21,[81]A02!$W$21)</f>
        <v>0</v>
      </c>
      <c r="AA12" s="608">
        <f>SUM([82]A02!$G$21,[82]A02!$I$21,[82]A02!$K$21,[82]A02!$M$21,[82]A02!$O$21,[82]A02!$Q$21,[82]A02!$S$21,[82]A02!$U$21,[82]A02!$W$21)</f>
        <v>1</v>
      </c>
      <c r="AB12" s="608">
        <f>SUM([83]A02!$G$21,[83]A02!$I$21,[83]A02!$K$21,[83]A02!$M$21,[83]A02!$O$21,[83]A02!$Q$21,[83]A02!$S$21,[83]A02!$U$21,[83]A02!$W$21)</f>
        <v>5</v>
      </c>
      <c r="AC12" s="608">
        <f>SUM([84]A02!$G$21,[84]A02!$I$21,[84]A02!$K$21,[84]A02!$M$21,[84]A02!$O$21,[84]A02!$Q$21,[84]A02!$S$21,[84]A02!$U$21,[84]A02!$W$21)</f>
        <v>0</v>
      </c>
      <c r="AD12" s="608">
        <f>SUM([85]A02!$G$21,[85]A02!$I$21,[85]A02!$K$21,[85]A02!$M$21,[85]A02!$O$21,[85]A02!$Q$21,[85]A02!$S$21,[85]A02!$U$21,[85]A02!$W$21)</f>
        <v>0</v>
      </c>
      <c r="AE12" s="260">
        <f t="shared" si="1"/>
        <v>18</v>
      </c>
      <c r="AF12" s="732"/>
      <c r="AG12" s="732"/>
      <c r="AH12" s="732"/>
      <c r="AI12" s="254"/>
      <c r="AJ12" s="254"/>
      <c r="AK12" s="254"/>
      <c r="AL12" s="608">
        <f>SUM([74]A02!$Y$21:$AF$21)</f>
        <v>47</v>
      </c>
      <c r="AM12" s="608">
        <f>SUM([75]A02!$Y$21:$AF$21)</f>
        <v>43</v>
      </c>
      <c r="AN12" s="608">
        <f>SUM([76]A02!$Y$21:$AF$21)</f>
        <v>42</v>
      </c>
      <c r="AO12" s="608">
        <f>SUM([77]A02!$Y$21:$AF$21)</f>
        <v>28</v>
      </c>
      <c r="AP12" s="608">
        <f>SUM([78]A02!$Y$21:$AF$21)</f>
        <v>8</v>
      </c>
      <c r="AQ12" s="608">
        <f>SUM([79]A02!$Y$21:$AF$21)</f>
        <v>29</v>
      </c>
      <c r="AR12" s="608">
        <f>SUM([80]A02!$Y$21:$AF$21)</f>
        <v>26</v>
      </c>
      <c r="AS12" s="608">
        <f>SUM([81]A02!$Y$21:$AF$21)</f>
        <v>42</v>
      </c>
      <c r="AT12" s="608">
        <f>SUM([82]A02!$Y$21:$AF$21)</f>
        <v>26</v>
      </c>
      <c r="AU12" s="608">
        <f>SUM([83]A02!$Y$21:$AF$21)</f>
        <v>30</v>
      </c>
      <c r="AV12" s="608">
        <f>SUM([84]A02!$Y$21:$AF$21)</f>
        <v>0</v>
      </c>
      <c r="AW12" s="608">
        <f>SUM([85]A02!$Y$21:$AF$21)</f>
        <v>0</v>
      </c>
      <c r="AX12" s="260">
        <f t="shared" si="2"/>
        <v>321</v>
      </c>
      <c r="AY12" s="254"/>
      <c r="AZ12" s="608">
        <f>[74]A05!$C$13</f>
        <v>2</v>
      </c>
      <c r="BA12" s="608">
        <f>[75]A05!$C$13</f>
        <v>2</v>
      </c>
      <c r="BB12" s="608">
        <f>[76]A05!$C$13</f>
        <v>0</v>
      </c>
      <c r="BC12" s="608">
        <f>[77]A05!$C$13</f>
        <v>0</v>
      </c>
      <c r="BD12" s="608">
        <f>[78]A05!$C$13</f>
        <v>2</v>
      </c>
      <c r="BE12" s="608">
        <f>[79]A05!$C$13</f>
        <v>0</v>
      </c>
      <c r="BF12" s="608">
        <f>[80]A05!$C$13</f>
        <v>2</v>
      </c>
      <c r="BG12" s="608">
        <f>[81]A05!$C$13</f>
        <v>2</v>
      </c>
      <c r="BH12" s="608">
        <f>[82]A05!$C$13</f>
        <v>4</v>
      </c>
      <c r="BI12" s="608">
        <f>[83]A05!$C$13</f>
        <v>2</v>
      </c>
      <c r="BJ12" s="608">
        <f>SUM([84]A02!$Y$21:$AF$21)</f>
        <v>0</v>
      </c>
      <c r="BK12" s="608">
        <f>SUM([85]A02!$Y$21:$AF$21)</f>
        <v>0</v>
      </c>
      <c r="BL12" s="260">
        <f t="shared" si="3"/>
        <v>16</v>
      </c>
      <c r="BM12" s="254"/>
      <c r="BN12" s="608">
        <f>[74]A05!$C$11</f>
        <v>3</v>
      </c>
      <c r="BO12" s="608">
        <f>[75]A05!$C$11</f>
        <v>4</v>
      </c>
      <c r="BP12" s="608">
        <f>[76]A05!$C$11</f>
        <v>0</v>
      </c>
      <c r="BQ12" s="608">
        <f>[77]A05!$C$11</f>
        <v>2</v>
      </c>
      <c r="BR12" s="608">
        <f>[78]A05!$C$11</f>
        <v>2</v>
      </c>
      <c r="BS12" s="608">
        <f>[79]A05!$C$11</f>
        <v>0</v>
      </c>
      <c r="BT12" s="608">
        <f>[80]A05!$C$11</f>
        <v>4</v>
      </c>
      <c r="BU12" s="608">
        <f>[81]A05!$C$11</f>
        <v>3</v>
      </c>
      <c r="BV12" s="608">
        <f>[82]A05!$C$11</f>
        <v>5</v>
      </c>
      <c r="BW12" s="608">
        <f>[83]A05!$C$11</f>
        <v>2</v>
      </c>
      <c r="BX12" s="608">
        <f>[84]A05!$C$11</f>
        <v>0</v>
      </c>
      <c r="BY12" s="608">
        <f>[84]A05!$C$11</f>
        <v>0</v>
      </c>
      <c r="BZ12" s="260">
        <f t="shared" si="4"/>
        <v>25</v>
      </c>
      <c r="CB12" s="608">
        <f>SUM([74]A03!$J$21:$M$24)</f>
        <v>2</v>
      </c>
      <c r="CC12" s="608">
        <f>SUM([75]A03!$J$21:$M$24)</f>
        <v>0</v>
      </c>
      <c r="CD12" s="608">
        <f>SUM([76]A03!$J$21:$M$24)</f>
        <v>0</v>
      </c>
      <c r="CE12" s="608">
        <f>SUM([77]A03!$J$21:$M$24)</f>
        <v>8</v>
      </c>
      <c r="CF12" s="608">
        <f>SUM([78]A03!$J$21:$M$24)</f>
        <v>2</v>
      </c>
      <c r="CG12" s="608">
        <f>SUM([79]A03!$J$21:$M$24)</f>
        <v>3</v>
      </c>
      <c r="CH12" s="608">
        <f>SUM([80]A03!$J$21:$M$24)</f>
        <v>5</v>
      </c>
      <c r="CI12" s="608">
        <f>SUM([81]A03!$J$21:$M$24)</f>
        <v>5</v>
      </c>
      <c r="CJ12" s="608">
        <f>SUM([82]A03!$J$21:$M$24)</f>
        <v>2</v>
      </c>
      <c r="CK12" s="608">
        <f>SUM([83]A03!$J$21:$M$24)</f>
        <v>6</v>
      </c>
      <c r="CL12" s="608">
        <f>SUM([84]A03!$J$21:$M$24)</f>
        <v>0</v>
      </c>
      <c r="CM12" s="608">
        <f>SUM([85]A03!$J$21:$M$24)</f>
        <v>0</v>
      </c>
      <c r="CN12" s="260">
        <f t="shared" si="5"/>
        <v>33</v>
      </c>
      <c r="CO12" s="254"/>
      <c r="CP12" s="608">
        <f>SUM([74]A26!$C$10:$C$35,[74]A26!$C$40:$E$41,[74]A33!$B$44)</f>
        <v>68</v>
      </c>
      <c r="CQ12" s="608">
        <f>SUM([75]A26!$C$10:$C$35,[75]A26!$C$40:$E$41,[75]A33!$B$44)</f>
        <v>18</v>
      </c>
      <c r="CR12" s="608">
        <f>SUM([76]A26!$C$10:$C$35,[76]A26!$C$40:$E$41,[76]A33!$B$44)</f>
        <v>41</v>
      </c>
      <c r="CS12" s="608">
        <f>SUM([77]A26!$C$10:$C$35,[77]A26!$C$40:$E$41,[77]A33!$B$44)</f>
        <v>34</v>
      </c>
      <c r="CT12" s="608">
        <f>SUM([78]A26!$C$10:$C$35,[78]A26!$C$40:$E$41,[78]A33!$B$44)</f>
        <v>22</v>
      </c>
      <c r="CU12" s="608">
        <f>SUM([79]A26!$C$10:$C$35,[79]A26!$C$40:$E$41,[79]A33!$B$44)</f>
        <v>32</v>
      </c>
      <c r="CV12" s="608">
        <f>SUM([80]A26!$C$10:$C$35,[80]A26!$C$40:$E$41,[80]A33!$B$44)</f>
        <v>125</v>
      </c>
      <c r="CW12" s="608">
        <f>SUM([81]A26!$C$10:$C$35,[81]A26!$C$40:$E$41,[81]A33!$B$44)</f>
        <v>64</v>
      </c>
      <c r="CX12" s="608">
        <f>SUM([82]A26!$C$10:$C$35,[82]A26!$C$40:$E$41,[82]A33!$B$44)</f>
        <v>18</v>
      </c>
      <c r="CY12" s="608">
        <f>SUM([83]A26!$C$10:$C$35,[83]A26!$C$40:$E$41,[83]A33!$B$44)</f>
        <v>19</v>
      </c>
      <c r="CZ12" s="608">
        <f>SUM([84]A26!$C$10:$C$35,[84]A26!$C$40:$E$41,[84]A33!$B$44)</f>
        <v>0</v>
      </c>
      <c r="DA12" s="608">
        <f>SUM([85]A26!$C$10:$C$35,[85]A26!$C$40:$E$41,[85]A33!$B$44)</f>
        <v>0</v>
      </c>
      <c r="DB12" s="260">
        <f t="shared" si="6"/>
        <v>441</v>
      </c>
      <c r="DC12" s="608">
        <f>SUM([74]A01!$C$74,[74]A01!$F$74,[74]A32!$B$186:$B$187,[74]A32!$E$186:$E$187)</f>
        <v>0</v>
      </c>
      <c r="DD12" s="608">
        <f>SUM([75]A01!$C$74,[75]A01!$F$74,[75]A32!$B$186:$B$187,[75]A32!$E$186:$E$187)</f>
        <v>0</v>
      </c>
      <c r="DE12" s="608">
        <f>SUM([76]A01!$C$74,[76]A01!$F$74,[76]A32!$B$186:$B$187,[76]A32!$E$186:$E$187)</f>
        <v>6</v>
      </c>
      <c r="DF12" s="608">
        <f>SUM([77]A01!$C$74,[77]A01!$F$74,[77]A32!$B$186:$B$187,[77]A32!$E$186:$E$187)</f>
        <v>5</v>
      </c>
      <c r="DG12" s="608">
        <f>SUM([78]A01!$C$74,[78]A01!$F$74,[78]A32!$B$186:$B$187,[78]A32!$E$186:$E$187)</f>
        <v>0</v>
      </c>
      <c r="DH12" s="608">
        <f>SUM([79]A01!$C$74,[79]A01!$F$74,[79]A32!$B$186:$B$187,[79]A32!$E$186:$E$187)</f>
        <v>2</v>
      </c>
      <c r="DI12" s="608">
        <f>SUM([80]A01!$C$74,[80]A01!$F$74,[80]A32!$B$186:$B$187,[80]A32!$E$186:$E$187)</f>
        <v>25</v>
      </c>
      <c r="DJ12" s="608">
        <f>SUM([81]A01!$C$74,[81]A01!$F$74,[81]A32!$B$186:$B$187,[81]A32!$E$186:$E$187)</f>
        <v>20</v>
      </c>
      <c r="DK12" s="608">
        <f>SUM([82]A01!$C$74,[82]A01!$F$74,[82]A32!$B$186:$B$187,[82]A32!$E$186:$E$187)</f>
        <v>14</v>
      </c>
      <c r="DL12" s="608">
        <f>SUM([83]A01!$C$74,[83]A01!$F$74,[83]A32!$B$186:$B$187,[83]A32!$E$186:$E$187)</f>
        <v>3</v>
      </c>
      <c r="DM12" s="608">
        <f>SUM([84]A01!$C$74,[84]A01!$F$74,[84]A32!$B$186:$B$187,[84]A32!$E$186:$E$187)</f>
        <v>0</v>
      </c>
      <c r="DN12" s="608">
        <f>SUM([85]A01!$C$74,[85]A01!$F$74,[85]A32!$B$186:$B$187,[85]A32!$E$186:$E$187)</f>
        <v>0</v>
      </c>
      <c r="DO12" s="260">
        <f t="shared" si="7"/>
        <v>75</v>
      </c>
      <c r="DP12" s="254"/>
    </row>
    <row r="13" spans="2:214" s="256" customFormat="1" thickBot="1" x14ac:dyDescent="0.25">
      <c r="B13" s="264"/>
      <c r="C13" s="265" t="s">
        <v>202</v>
      </c>
      <c r="D13" s="266"/>
      <c r="E13" s="793">
        <f>SUM(E6:E12)</f>
        <v>357</v>
      </c>
      <c r="F13" s="793">
        <f t="shared" ref="F13:P13" si="8">SUM(F6:F12)</f>
        <v>174</v>
      </c>
      <c r="G13" s="793">
        <f t="shared" si="8"/>
        <v>243</v>
      </c>
      <c r="H13" s="793">
        <f t="shared" si="8"/>
        <v>391</v>
      </c>
      <c r="I13" s="793">
        <f t="shared" si="8"/>
        <v>394</v>
      </c>
      <c r="J13" s="793">
        <f t="shared" si="8"/>
        <v>391</v>
      </c>
      <c r="K13" s="793">
        <f t="shared" ref="K13" si="9">SUM(K6:K12)</f>
        <v>383</v>
      </c>
      <c r="L13" s="267">
        <f t="shared" si="8"/>
        <v>367</v>
      </c>
      <c r="M13" s="267">
        <f t="shared" si="8"/>
        <v>271</v>
      </c>
      <c r="N13" s="267">
        <f t="shared" si="8"/>
        <v>415</v>
      </c>
      <c r="O13" s="267">
        <f t="shared" si="8"/>
        <v>0</v>
      </c>
      <c r="P13" s="267">
        <f t="shared" si="8"/>
        <v>0</v>
      </c>
      <c r="Q13" s="267">
        <f>SUM(Q6:Q12)</f>
        <v>3386</v>
      </c>
      <c r="R13" s="733"/>
      <c r="S13" s="267">
        <f>SUM(S6:S12)</f>
        <v>155</v>
      </c>
      <c r="T13" s="267">
        <f t="shared" ref="T13:AD13" si="10">SUM(T6:T12)</f>
        <v>74</v>
      </c>
      <c r="U13" s="267">
        <f t="shared" si="10"/>
        <v>62</v>
      </c>
      <c r="V13" s="267">
        <f t="shared" si="10"/>
        <v>157</v>
      </c>
      <c r="W13" s="267">
        <f t="shared" si="10"/>
        <v>137</v>
      </c>
      <c r="X13" s="267">
        <f t="shared" si="10"/>
        <v>162</v>
      </c>
      <c r="Y13" s="267">
        <f t="shared" ref="Y13" si="11">SUM(Y6:Y12)</f>
        <v>222</v>
      </c>
      <c r="Z13" s="267">
        <f t="shared" si="10"/>
        <v>157</v>
      </c>
      <c r="AA13" s="267">
        <f t="shared" si="10"/>
        <v>118</v>
      </c>
      <c r="AB13" s="267">
        <f t="shared" si="10"/>
        <v>226</v>
      </c>
      <c r="AC13" s="267">
        <f t="shared" si="10"/>
        <v>0</v>
      </c>
      <c r="AD13" s="267">
        <f t="shared" si="10"/>
        <v>0</v>
      </c>
      <c r="AE13" s="267">
        <f>SUM(AE6:AE12)</f>
        <v>1470</v>
      </c>
      <c r="AF13" s="733"/>
      <c r="AG13" s="733"/>
      <c r="AH13" s="733"/>
      <c r="AI13" s="254"/>
      <c r="AJ13" s="254"/>
      <c r="AK13" s="254"/>
      <c r="AL13" s="267">
        <f>SUM(AL6:AL12)</f>
        <v>816</v>
      </c>
      <c r="AM13" s="267">
        <f t="shared" ref="AM13" si="12">SUM(AM6:AM12)</f>
        <v>397</v>
      </c>
      <c r="AN13" s="267">
        <f t="shared" ref="AN13" si="13">SUM(AN6:AN12)</f>
        <v>402</v>
      </c>
      <c r="AO13" s="267">
        <f t="shared" ref="AO13" si="14">SUM(AO6:AO12)</f>
        <v>635</v>
      </c>
      <c r="AP13" s="267">
        <f t="shared" ref="AP13" si="15">SUM(AP6:AP12)</f>
        <v>647</v>
      </c>
      <c r="AQ13" s="267">
        <f t="shared" ref="AQ13" si="16">SUM(AQ6:AQ12)</f>
        <v>697</v>
      </c>
      <c r="AR13" s="267">
        <f t="shared" ref="AR13" si="17">SUM(AR6:AR12)</f>
        <v>803</v>
      </c>
      <c r="AS13" s="267">
        <f t="shared" ref="AS13" si="18">SUM(AS6:AS12)</f>
        <v>680</v>
      </c>
      <c r="AT13" s="267">
        <f t="shared" ref="AT13" si="19">SUM(AT6:AT12)</f>
        <v>704</v>
      </c>
      <c r="AU13" s="267">
        <f t="shared" ref="AU13" si="20">SUM(AU6:AU12)</f>
        <v>846</v>
      </c>
      <c r="AV13" s="267">
        <f t="shared" ref="AV13" si="21">SUM(AV6:AV12)</f>
        <v>0</v>
      </c>
      <c r="AW13" s="267">
        <f t="shared" ref="AW13" si="22">SUM(AW6:AW12)</f>
        <v>0</v>
      </c>
      <c r="AX13" s="267">
        <f>SUM(AX6:AX12)</f>
        <v>6627</v>
      </c>
      <c r="AY13" s="254"/>
      <c r="AZ13" s="466">
        <f>SUM(AZ6:AZ12)</f>
        <v>94</v>
      </c>
      <c r="BA13" s="267">
        <f t="shared" ref="BA13" si="23">SUM(BA6:BA12)</f>
        <v>82</v>
      </c>
      <c r="BB13" s="267">
        <f t="shared" ref="BB13" si="24">SUM(BB6:BB12)</f>
        <v>74</v>
      </c>
      <c r="BC13" s="267">
        <f t="shared" ref="BC13" si="25">SUM(BC6:BC12)</f>
        <v>66</v>
      </c>
      <c r="BD13" s="267">
        <f t="shared" ref="BD13" si="26">SUM(BD6:BD12)</f>
        <v>54</v>
      </c>
      <c r="BE13" s="267">
        <f t="shared" ref="BE13" si="27">SUM(BE6:BE12)</f>
        <v>75</v>
      </c>
      <c r="BF13" s="267">
        <f t="shared" ref="BF13" si="28">SUM(BF6:BF12)</f>
        <v>69</v>
      </c>
      <c r="BG13" s="267">
        <f t="shared" ref="BG13" si="29">SUM(BG6:BG12)</f>
        <v>68</v>
      </c>
      <c r="BH13" s="267">
        <f t="shared" ref="BH13" si="30">SUM(BH6:BH12)</f>
        <v>75</v>
      </c>
      <c r="BI13" s="267">
        <f t="shared" ref="BI13" si="31">SUM(BI6:BI12)</f>
        <v>84</v>
      </c>
      <c r="BJ13" s="267">
        <f t="shared" ref="BJ13" si="32">SUM(BJ6:BJ12)</f>
        <v>0</v>
      </c>
      <c r="BK13" s="267">
        <f t="shared" ref="BK13" si="33">SUM(BK6:BK12)</f>
        <v>0</v>
      </c>
      <c r="BL13" s="267">
        <f>SUM(BL6:BL12)</f>
        <v>741</v>
      </c>
      <c r="BM13" s="254"/>
      <c r="BN13" s="466">
        <f>SUM(BN6:BN12)</f>
        <v>103</v>
      </c>
      <c r="BO13" s="267">
        <f t="shared" ref="BO13" si="34">SUM(BO6:BO12)</f>
        <v>90</v>
      </c>
      <c r="BP13" s="267">
        <f t="shared" ref="BP13" si="35">SUM(BP6:BP12)</f>
        <v>82</v>
      </c>
      <c r="BQ13" s="267">
        <f t="shared" ref="BQ13" si="36">SUM(BQ6:BQ12)</f>
        <v>78</v>
      </c>
      <c r="BR13" s="267">
        <f t="shared" ref="BR13" si="37">SUM(BR6:BR12)</f>
        <v>65</v>
      </c>
      <c r="BS13" s="267">
        <f t="shared" ref="BS13" si="38">SUM(BS6:BS12)</f>
        <v>80</v>
      </c>
      <c r="BT13" s="267">
        <f t="shared" ref="BT13" si="39">SUM(BT6:BT12)</f>
        <v>75</v>
      </c>
      <c r="BU13" s="267">
        <f t="shared" ref="BU13" si="40">SUM(BU6:BU12)</f>
        <v>72</v>
      </c>
      <c r="BV13" s="267">
        <f t="shared" ref="BV13" si="41">SUM(BV6:BV12)</f>
        <v>80</v>
      </c>
      <c r="BW13" s="267">
        <f t="shared" ref="BW13" si="42">SUM(BW6:BW12)</f>
        <v>88</v>
      </c>
      <c r="BX13" s="267">
        <f t="shared" ref="BX13" si="43">SUM(BX6:BX12)</f>
        <v>0</v>
      </c>
      <c r="BY13" s="267">
        <f t="shared" ref="BY13" si="44">SUM(BY6:BY12)</f>
        <v>0</v>
      </c>
      <c r="BZ13" s="267">
        <f>SUM(BZ6:BZ12)</f>
        <v>813</v>
      </c>
      <c r="CB13" s="267">
        <f>SUM(CB6:CB12)</f>
        <v>71</v>
      </c>
      <c r="CC13" s="267">
        <f t="shared" ref="CC13" si="45">SUM(CC6:CC12)</f>
        <v>53</v>
      </c>
      <c r="CD13" s="267">
        <f t="shared" ref="CD13" si="46">SUM(CD6:CD12)</f>
        <v>84</v>
      </c>
      <c r="CE13" s="267">
        <f t="shared" ref="CE13" si="47">SUM(CE6:CE12)</f>
        <v>85</v>
      </c>
      <c r="CF13" s="267">
        <f t="shared" ref="CF13" si="48">SUM(CF6:CF12)</f>
        <v>49</v>
      </c>
      <c r="CG13" s="267">
        <f t="shared" ref="CG13" si="49">SUM(CG6:CG12)</f>
        <v>79</v>
      </c>
      <c r="CH13" s="267">
        <f t="shared" ref="CH13" si="50">SUM(CH6:CH12)</f>
        <v>67</v>
      </c>
      <c r="CI13" s="267">
        <f t="shared" ref="CI13" si="51">SUM(CI6:CI12)</f>
        <v>92</v>
      </c>
      <c r="CJ13" s="267">
        <f t="shared" ref="CJ13" si="52">SUM(CJ6:CJ12)</f>
        <v>75</v>
      </c>
      <c r="CK13" s="267">
        <f t="shared" ref="CK13" si="53">SUM(CK6:CK12)</f>
        <v>102</v>
      </c>
      <c r="CL13" s="267">
        <f t="shared" ref="CL13" si="54">SUM(CL6:CL12)</f>
        <v>0</v>
      </c>
      <c r="CM13" s="267">
        <f t="shared" ref="CM13" si="55">SUM(CM6:CM12)</f>
        <v>0</v>
      </c>
      <c r="CN13" s="267">
        <f>SUM(CN6:CN12)</f>
        <v>757</v>
      </c>
      <c r="CO13" s="254"/>
      <c r="CP13" s="466">
        <f>SUM(CP6:CP12)</f>
        <v>457</v>
      </c>
      <c r="CQ13" s="267">
        <f t="shared" ref="CQ13" si="56">SUM(CQ6:CQ12)</f>
        <v>235</v>
      </c>
      <c r="CR13" s="267">
        <f t="shared" ref="CR13" si="57">SUM(CR6:CR12)</f>
        <v>366</v>
      </c>
      <c r="CS13" s="267">
        <f t="shared" ref="CS13" si="58">SUM(CS6:CS12)</f>
        <v>334</v>
      </c>
      <c r="CT13" s="267">
        <f t="shared" ref="CT13" si="59">SUM(CT6:CT12)</f>
        <v>314</v>
      </c>
      <c r="CU13" s="267">
        <f t="shared" ref="CU13" si="60">SUM(CU6:CU12)</f>
        <v>357</v>
      </c>
      <c r="CV13" s="267">
        <f t="shared" ref="CV13" si="61">SUM(CV6:CV12)</f>
        <v>454</v>
      </c>
      <c r="CW13" s="267">
        <f t="shared" ref="CW13" si="62">SUM(CW6:CW12)</f>
        <v>367</v>
      </c>
      <c r="CX13" s="267">
        <f t="shared" ref="CX13" si="63">SUM(CX6:CX12)</f>
        <v>266</v>
      </c>
      <c r="CY13" s="267">
        <f t="shared" ref="CY13" si="64">SUM(CY6:CY12)</f>
        <v>382</v>
      </c>
      <c r="CZ13" s="267">
        <f t="shared" ref="CZ13" si="65">SUM(CZ6:CZ12)</f>
        <v>0</v>
      </c>
      <c r="DA13" s="267">
        <f t="shared" ref="DA13" si="66">SUM(DA6:DA12)</f>
        <v>0</v>
      </c>
      <c r="DB13" s="267">
        <f>SUM(DB6:DB12)</f>
        <v>3532</v>
      </c>
      <c r="DC13" s="466">
        <f>SUM(DC6:DC12)</f>
        <v>90</v>
      </c>
      <c r="DD13" s="267">
        <f t="shared" ref="DD13" si="67">SUM(DD6:DD12)</f>
        <v>166</v>
      </c>
      <c r="DE13" s="267">
        <f t="shared" ref="DE13" si="68">SUM(DE6:DE12)</f>
        <v>102</v>
      </c>
      <c r="DF13" s="267">
        <f t="shared" ref="DF13" si="69">SUM(DF6:DF12)</f>
        <v>186</v>
      </c>
      <c r="DG13" s="267">
        <f t="shared" ref="DG13" si="70">SUM(DG6:DG12)</f>
        <v>211</v>
      </c>
      <c r="DH13" s="267">
        <f t="shared" ref="DH13" si="71">SUM(DH6:DH12)</f>
        <v>260</v>
      </c>
      <c r="DI13" s="267">
        <f t="shared" ref="DI13" si="72">SUM(DI6:DI12)</f>
        <v>241</v>
      </c>
      <c r="DJ13" s="267">
        <f t="shared" ref="DJ13" si="73">SUM(DJ6:DJ12)</f>
        <v>185</v>
      </c>
      <c r="DK13" s="267">
        <f t="shared" ref="DK13" si="74">SUM(DK6:DK12)</f>
        <v>279</v>
      </c>
      <c r="DL13" s="267">
        <f t="shared" ref="DL13" si="75">SUM(DL6:DL12)</f>
        <v>315</v>
      </c>
      <c r="DM13" s="267">
        <f t="shared" ref="DM13" si="76">SUM(DM6:DM12)</f>
        <v>0</v>
      </c>
      <c r="DN13" s="267">
        <f t="shared" ref="DN13" si="77">SUM(DN6:DN12)</f>
        <v>0</v>
      </c>
      <c r="DO13" s="267">
        <f>SUM(DO6:DO12)</f>
        <v>2035</v>
      </c>
      <c r="DP13" s="254"/>
    </row>
    <row r="14" spans="2:214" s="256" customFormat="1" ht="12" x14ac:dyDescent="0.2">
      <c r="C14" s="268"/>
      <c r="D14" s="268"/>
      <c r="E14" s="269"/>
      <c r="F14" s="269"/>
      <c r="G14" s="269"/>
      <c r="H14" s="269"/>
      <c r="I14" s="269"/>
      <c r="J14" s="269"/>
      <c r="K14" s="269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69"/>
      <c r="AM14" s="269"/>
      <c r="AN14" s="269"/>
      <c r="AO14" s="269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69"/>
      <c r="BA14" s="269"/>
      <c r="BB14" s="269"/>
      <c r="BC14" s="269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69"/>
      <c r="BO14" s="269"/>
      <c r="BP14" s="269"/>
      <c r="BQ14" s="269"/>
      <c r="BR14" s="254"/>
      <c r="BS14" s="254"/>
      <c r="BT14" s="254"/>
      <c r="BU14" s="254"/>
      <c r="BV14" s="254"/>
      <c r="BW14" s="254"/>
      <c r="BX14" s="254"/>
      <c r="BY14" s="254"/>
      <c r="BZ14" s="254"/>
      <c r="CB14" s="269"/>
      <c r="CC14" s="269"/>
      <c r="CD14" s="269"/>
      <c r="CE14" s="269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69"/>
      <c r="CQ14" s="269"/>
      <c r="CR14" s="269"/>
      <c r="CS14" s="269"/>
      <c r="CT14" s="254"/>
      <c r="CU14" s="254"/>
      <c r="CV14" s="254"/>
      <c r="CW14" s="254"/>
      <c r="CX14" s="254"/>
      <c r="CY14" s="254"/>
      <c r="CZ14" s="254"/>
      <c r="DA14" s="254"/>
      <c r="DB14" s="254"/>
      <c r="DC14" s="269"/>
      <c r="DD14" s="269"/>
      <c r="DE14" s="269"/>
      <c r="DF14" s="269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</row>
    <row r="15" spans="2:214" s="253" customFormat="1" ht="12" x14ac:dyDescent="0.2"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</row>
    <row r="16" spans="2:214" s="253" customFormat="1" ht="12" x14ac:dyDescent="0.2"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</row>
    <row r="17" spans="5:120" s="253" customFormat="1" ht="12" x14ac:dyDescent="0.2"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</row>
    <row r="18" spans="5:120" s="253" customFormat="1" ht="12" x14ac:dyDescent="0.2"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</row>
    <row r="19" spans="5:120" s="253" customFormat="1" ht="12" x14ac:dyDescent="0.2"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</row>
    <row r="20" spans="5:120" s="253" customFormat="1" ht="12" x14ac:dyDescent="0.2"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  <c r="DB20" s="254"/>
      <c r="DC20" s="254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</row>
    <row r="21" spans="5:120" s="253" customFormat="1" ht="12" x14ac:dyDescent="0.2"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4"/>
      <c r="DG21" s="254"/>
      <c r="DH21" s="254"/>
      <c r="DI21" s="254"/>
      <c r="DJ21" s="254"/>
      <c r="DK21" s="254"/>
      <c r="DL21" s="254"/>
      <c r="DM21" s="254"/>
      <c r="DN21" s="254"/>
      <c r="DO21" s="254"/>
      <c r="DP21" s="254"/>
    </row>
    <row r="22" spans="5:120" s="253" customFormat="1" ht="12" x14ac:dyDescent="0.2"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</row>
    <row r="23" spans="5:120" s="253" customFormat="1" ht="12" x14ac:dyDescent="0.2"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</row>
    <row r="24" spans="5:120" s="253" customFormat="1" ht="12" x14ac:dyDescent="0.2"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</row>
    <row r="25" spans="5:120" s="253" customFormat="1" ht="12" x14ac:dyDescent="0.2"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</row>
    <row r="26" spans="5:120" s="253" customFormat="1" ht="12" x14ac:dyDescent="0.2"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</row>
    <row r="27" spans="5:120" s="253" customFormat="1" ht="12" x14ac:dyDescent="0.2"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</row>
    <row r="28" spans="5:120" s="253" customFormat="1" ht="12" x14ac:dyDescent="0.2"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</row>
    <row r="29" spans="5:120" s="253" customFormat="1" ht="12" x14ac:dyDescent="0.2"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</row>
    <row r="30" spans="5:120" s="253" customFormat="1" ht="12" x14ac:dyDescent="0.2"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</row>
    <row r="31" spans="5:120" s="253" customFormat="1" ht="12" x14ac:dyDescent="0.2"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</row>
    <row r="32" spans="5:120" s="253" customFormat="1" ht="12" x14ac:dyDescent="0.2"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</row>
    <row r="33" spans="5:120" s="253" customFormat="1" ht="12" x14ac:dyDescent="0.2"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</row>
    <row r="34" spans="5:120" s="253" customFormat="1" ht="12" x14ac:dyDescent="0.2"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</row>
    <row r="35" spans="5:120" s="253" customFormat="1" ht="12" x14ac:dyDescent="0.2"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</row>
    <row r="36" spans="5:120" s="253" customFormat="1" ht="12" x14ac:dyDescent="0.2"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</row>
    <row r="37" spans="5:120" s="253" customFormat="1" ht="12" x14ac:dyDescent="0.2"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</row>
    <row r="38" spans="5:120" s="253" customFormat="1" ht="12" x14ac:dyDescent="0.2"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</row>
    <row r="39" spans="5:120" s="253" customFormat="1" ht="12" x14ac:dyDescent="0.2"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</row>
    <row r="40" spans="5:120" s="253" customFormat="1" ht="12" x14ac:dyDescent="0.2"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</row>
    <row r="41" spans="5:120" s="253" customFormat="1" ht="12" x14ac:dyDescent="0.2"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</row>
    <row r="42" spans="5:120" s="253" customFormat="1" ht="12" x14ac:dyDescent="0.2"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Y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/>
      <c r="DP42" s="254"/>
    </row>
    <row r="43" spans="5:120" s="253" customFormat="1" ht="12" x14ac:dyDescent="0.2"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4"/>
      <c r="BW43" s="254"/>
      <c r="BX43" s="254"/>
      <c r="BY43" s="254"/>
      <c r="BZ43" s="254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254"/>
      <c r="CN43" s="254"/>
      <c r="CO43" s="254"/>
      <c r="CP43" s="254"/>
      <c r="CQ43" s="254"/>
      <c r="CR43" s="254"/>
      <c r="CS43" s="254"/>
      <c r="CT43" s="254"/>
      <c r="CU43" s="254"/>
      <c r="CV43" s="254"/>
      <c r="CW43" s="254"/>
      <c r="CX43" s="254"/>
      <c r="CY43" s="254"/>
      <c r="CZ43" s="254"/>
      <c r="DA43" s="254"/>
      <c r="DB43" s="254"/>
      <c r="DC43" s="254"/>
      <c r="DD43" s="254"/>
      <c r="DE43" s="254"/>
      <c r="DF43" s="254"/>
      <c r="DG43" s="254"/>
      <c r="DH43" s="254"/>
      <c r="DI43" s="254"/>
      <c r="DJ43" s="254"/>
      <c r="DK43" s="254"/>
      <c r="DL43" s="254"/>
      <c r="DM43" s="254"/>
      <c r="DN43" s="254"/>
      <c r="DO43" s="254"/>
      <c r="DP43" s="254"/>
    </row>
    <row r="44" spans="5:120" s="253" customFormat="1" ht="12" x14ac:dyDescent="0.2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4"/>
      <c r="BW44" s="254"/>
      <c r="BX44" s="254"/>
      <c r="BY44" s="254"/>
      <c r="BZ44" s="254"/>
      <c r="CB44" s="254"/>
      <c r="CC44" s="254"/>
      <c r="CD44" s="254"/>
      <c r="CE44" s="254"/>
      <c r="CF44" s="254"/>
      <c r="CG44" s="254"/>
      <c r="CH44" s="254"/>
      <c r="CI44" s="254"/>
      <c r="CJ44" s="254"/>
      <c r="CK44" s="254"/>
      <c r="CL44" s="254"/>
      <c r="CM44" s="254"/>
      <c r="CN44" s="254"/>
      <c r="CO44" s="254"/>
      <c r="CP44" s="254"/>
      <c r="CQ44" s="254"/>
      <c r="CR44" s="254"/>
      <c r="CS44" s="254"/>
      <c r="CT44" s="254"/>
      <c r="CU44" s="254"/>
      <c r="CV44" s="254"/>
      <c r="CW44" s="254"/>
      <c r="CX44" s="254"/>
      <c r="CY44" s="254"/>
      <c r="CZ44" s="254"/>
      <c r="DA44" s="254"/>
      <c r="DB44" s="254"/>
      <c r="DC44" s="254"/>
      <c r="DD44" s="254"/>
      <c r="DE44" s="254"/>
      <c r="DF44" s="254"/>
      <c r="DG44" s="254"/>
      <c r="DH44" s="254"/>
      <c r="DI44" s="254"/>
      <c r="DJ44" s="254"/>
      <c r="DK44" s="254"/>
      <c r="DL44" s="254"/>
      <c r="DM44" s="254"/>
      <c r="DN44" s="254"/>
      <c r="DO44" s="254"/>
      <c r="DP44" s="254"/>
    </row>
    <row r="45" spans="5:120" s="253" customFormat="1" ht="12" x14ac:dyDescent="0.2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4"/>
      <c r="BW45" s="254"/>
      <c r="BX45" s="254"/>
      <c r="BY45" s="254"/>
      <c r="BZ45" s="254"/>
      <c r="CB45" s="254"/>
      <c r="CC45" s="254"/>
      <c r="CD45" s="254"/>
      <c r="CE45" s="254"/>
      <c r="CF45" s="254"/>
      <c r="CG45" s="254"/>
      <c r="CH45" s="254"/>
      <c r="CI45" s="254"/>
      <c r="CJ45" s="254"/>
      <c r="CK45" s="254"/>
      <c r="CL45" s="254"/>
      <c r="CM45" s="254"/>
      <c r="CN45" s="254"/>
      <c r="CO45" s="254"/>
      <c r="CP45" s="254"/>
      <c r="CQ45" s="254"/>
      <c r="CR45" s="254"/>
      <c r="CS45" s="254"/>
      <c r="CT45" s="254"/>
      <c r="CU45" s="254"/>
      <c r="CV45" s="254"/>
      <c r="CW45" s="254"/>
      <c r="CX45" s="254"/>
      <c r="CY45" s="254"/>
      <c r="CZ45" s="254"/>
      <c r="DA45" s="254"/>
      <c r="DB45" s="254"/>
      <c r="DC45" s="254"/>
      <c r="DD45" s="254"/>
      <c r="DE45" s="254"/>
      <c r="DF45" s="254"/>
      <c r="DG45" s="254"/>
      <c r="DH45" s="254"/>
      <c r="DI45" s="254"/>
      <c r="DJ45" s="254"/>
      <c r="DK45" s="254"/>
      <c r="DL45" s="254"/>
      <c r="DM45" s="254"/>
      <c r="DN45" s="254"/>
      <c r="DO45" s="254"/>
      <c r="DP45" s="254"/>
    </row>
    <row r="46" spans="5:120" s="253" customFormat="1" ht="12" x14ac:dyDescent="0.2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4"/>
      <c r="BW46" s="254"/>
      <c r="BX46" s="254"/>
      <c r="BY46" s="254"/>
      <c r="BZ46" s="254"/>
      <c r="CB46" s="254"/>
      <c r="CC46" s="254"/>
      <c r="CD46" s="254"/>
      <c r="CE46" s="254"/>
      <c r="CF46" s="254"/>
      <c r="CG46" s="254"/>
      <c r="CH46" s="254"/>
      <c r="CI46" s="254"/>
      <c r="CJ46" s="254"/>
      <c r="CK46" s="254"/>
      <c r="CL46" s="254"/>
      <c r="CM46" s="254"/>
      <c r="CN46" s="254"/>
      <c r="CO46" s="254"/>
      <c r="CP46" s="254"/>
      <c r="CQ46" s="254"/>
      <c r="CR46" s="254"/>
      <c r="CS46" s="254"/>
      <c r="CT46" s="254"/>
      <c r="CU46" s="254"/>
      <c r="CV46" s="254"/>
      <c r="CW46" s="254"/>
      <c r="CX46" s="254"/>
      <c r="CY46" s="254"/>
      <c r="CZ46" s="254"/>
      <c r="DA46" s="254"/>
      <c r="DB46" s="254"/>
      <c r="DC46" s="254"/>
      <c r="DD46" s="254"/>
      <c r="DE46" s="254"/>
      <c r="DF46" s="254"/>
      <c r="DG46" s="254"/>
      <c r="DH46" s="254"/>
      <c r="DI46" s="254"/>
      <c r="DJ46" s="254"/>
      <c r="DK46" s="254"/>
      <c r="DL46" s="254"/>
      <c r="DM46" s="254"/>
      <c r="DN46" s="254"/>
      <c r="DO46" s="254"/>
      <c r="DP46" s="254"/>
    </row>
    <row r="47" spans="5:120" s="253" customFormat="1" ht="12" x14ac:dyDescent="0.2"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4"/>
      <c r="BW47" s="254"/>
      <c r="BX47" s="254"/>
      <c r="BY47" s="254"/>
      <c r="BZ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254"/>
      <c r="CN47" s="254"/>
      <c r="CO47" s="254"/>
      <c r="CP47" s="254"/>
      <c r="CQ47" s="254"/>
      <c r="CR47" s="254"/>
      <c r="CS47" s="254"/>
      <c r="CT47" s="254"/>
      <c r="CU47" s="254"/>
      <c r="CV47" s="254"/>
      <c r="CW47" s="254"/>
      <c r="CX47" s="254"/>
      <c r="CY47" s="254"/>
      <c r="CZ47" s="254"/>
      <c r="DA47" s="254"/>
      <c r="DB47" s="254"/>
      <c r="DC47" s="254"/>
      <c r="DD47" s="254"/>
      <c r="DE47" s="254"/>
      <c r="DF47" s="254"/>
      <c r="DG47" s="254"/>
      <c r="DH47" s="254"/>
      <c r="DI47" s="254"/>
      <c r="DJ47" s="254"/>
      <c r="DK47" s="254"/>
      <c r="DL47" s="254"/>
      <c r="DM47" s="254"/>
      <c r="DN47" s="254"/>
      <c r="DO47" s="254"/>
      <c r="DP47" s="254"/>
    </row>
    <row r="48" spans="5:120" s="253" customFormat="1" ht="12" x14ac:dyDescent="0.2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4"/>
      <c r="BW48" s="254"/>
      <c r="BX48" s="254"/>
      <c r="BY48" s="254"/>
      <c r="BZ48" s="254"/>
      <c r="CB48" s="254"/>
      <c r="CC48" s="254"/>
      <c r="CD48" s="254"/>
      <c r="CE48" s="254"/>
      <c r="CF48" s="254"/>
      <c r="CG48" s="254"/>
      <c r="CH48" s="254"/>
      <c r="CI48" s="254"/>
      <c r="CJ48" s="254"/>
      <c r="CK48" s="254"/>
      <c r="CL48" s="254"/>
      <c r="CM48" s="254"/>
      <c r="CN48" s="254"/>
      <c r="CO48" s="254"/>
      <c r="CP48" s="254"/>
      <c r="CQ48" s="254"/>
      <c r="CR48" s="254"/>
      <c r="CS48" s="254"/>
      <c r="CT48" s="254"/>
      <c r="CU48" s="254"/>
      <c r="CV48" s="254"/>
      <c r="CW48" s="254"/>
      <c r="CX48" s="254"/>
      <c r="CY48" s="254"/>
      <c r="CZ48" s="254"/>
      <c r="DA48" s="254"/>
      <c r="DB48" s="254"/>
      <c r="DC48" s="254"/>
      <c r="DD48" s="254"/>
      <c r="DE48" s="254"/>
      <c r="DF48" s="254"/>
      <c r="DG48" s="254"/>
      <c r="DH48" s="254"/>
      <c r="DI48" s="254"/>
      <c r="DJ48" s="254"/>
      <c r="DK48" s="254"/>
      <c r="DL48" s="254"/>
      <c r="DM48" s="254"/>
      <c r="DN48" s="254"/>
      <c r="DO48" s="254"/>
      <c r="DP48" s="254"/>
    </row>
    <row r="49" spans="5:120" s="253" customFormat="1" ht="12" x14ac:dyDescent="0.2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4"/>
      <c r="BW49" s="254"/>
      <c r="BX49" s="254"/>
      <c r="BY49" s="254"/>
      <c r="BZ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254"/>
      <c r="CN49" s="254"/>
      <c r="CO49" s="254"/>
      <c r="CP49" s="254"/>
      <c r="CQ49" s="254"/>
      <c r="CR49" s="254"/>
      <c r="CS49" s="254"/>
      <c r="CT49" s="254"/>
      <c r="CU49" s="254"/>
      <c r="CV49" s="254"/>
      <c r="CW49" s="254"/>
      <c r="CX49" s="254"/>
      <c r="CY49" s="254"/>
      <c r="CZ49" s="254"/>
      <c r="DA49" s="254"/>
      <c r="DB49" s="254"/>
      <c r="DC49" s="254"/>
      <c r="DD49" s="254"/>
      <c r="DE49" s="254"/>
      <c r="DF49" s="254"/>
      <c r="DG49" s="254"/>
      <c r="DH49" s="254"/>
      <c r="DI49" s="254"/>
      <c r="DJ49" s="254"/>
      <c r="DK49" s="254"/>
      <c r="DL49" s="254"/>
      <c r="DM49" s="254"/>
      <c r="DN49" s="254"/>
      <c r="DO49" s="254"/>
      <c r="DP49" s="254"/>
    </row>
    <row r="50" spans="5:120" s="253" customFormat="1" ht="12" x14ac:dyDescent="0.2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</row>
    <row r="51" spans="5:120" s="253" customFormat="1" ht="12" x14ac:dyDescent="0.2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P51" s="254"/>
    </row>
    <row r="52" spans="5:120" s="253" customFormat="1" ht="12" x14ac:dyDescent="0.2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4"/>
      <c r="BW52" s="254"/>
      <c r="BX52" s="254"/>
      <c r="BY52" s="254"/>
      <c r="BZ52" s="254"/>
      <c r="CB52" s="254"/>
      <c r="CC52" s="254"/>
      <c r="CD52" s="254"/>
      <c r="CE52" s="254"/>
      <c r="CF52" s="254"/>
      <c r="CG52" s="254"/>
      <c r="CH52" s="254"/>
      <c r="CI52" s="254"/>
      <c r="CJ52" s="254"/>
      <c r="CK52" s="254"/>
      <c r="CL52" s="254"/>
      <c r="CM52" s="254"/>
      <c r="CN52" s="254"/>
      <c r="CO52" s="254"/>
      <c r="CP52" s="254"/>
      <c r="CQ52" s="254"/>
      <c r="CR52" s="254"/>
      <c r="CS52" s="254"/>
      <c r="CT52" s="254"/>
      <c r="CU52" s="254"/>
      <c r="CV52" s="254"/>
      <c r="CW52" s="254"/>
      <c r="CX52" s="254"/>
      <c r="CY52" s="254"/>
      <c r="CZ52" s="254"/>
      <c r="DA52" s="254"/>
      <c r="DB52" s="254"/>
      <c r="DC52" s="254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P52" s="254"/>
    </row>
    <row r="53" spans="5:120" s="253" customFormat="1" ht="12" x14ac:dyDescent="0.2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4"/>
      <c r="BW53" s="254"/>
      <c r="BX53" s="254"/>
      <c r="BY53" s="254"/>
      <c r="BZ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4"/>
      <c r="CN53" s="254"/>
      <c r="CO53" s="254"/>
      <c r="CP53" s="254"/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P53" s="254"/>
    </row>
    <row r="54" spans="5:120" s="253" customFormat="1" ht="12" x14ac:dyDescent="0.2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4"/>
      <c r="BW54" s="254"/>
      <c r="BX54" s="254"/>
      <c r="BY54" s="254"/>
      <c r="BZ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254"/>
      <c r="CN54" s="254"/>
      <c r="CO54" s="254"/>
      <c r="CP54" s="254"/>
      <c r="CQ54" s="254"/>
      <c r="CR54" s="254"/>
      <c r="CS54" s="254"/>
      <c r="CT54" s="254"/>
      <c r="CU54" s="254"/>
      <c r="CV54" s="254"/>
      <c r="CW54" s="254"/>
      <c r="CX54" s="254"/>
      <c r="CY54" s="254"/>
      <c r="CZ54" s="254"/>
      <c r="DA54" s="254"/>
      <c r="DB54" s="254"/>
      <c r="DC54" s="254"/>
      <c r="DD54" s="254"/>
      <c r="DE54" s="254"/>
      <c r="DF54" s="254"/>
      <c r="DG54" s="254"/>
      <c r="DH54" s="254"/>
      <c r="DI54" s="254"/>
      <c r="DJ54" s="254"/>
      <c r="DK54" s="254"/>
      <c r="DL54" s="254"/>
      <c r="DM54" s="254"/>
      <c r="DN54" s="254"/>
      <c r="DO54" s="254"/>
      <c r="DP54" s="254"/>
    </row>
    <row r="55" spans="5:120" s="253" customFormat="1" ht="12" x14ac:dyDescent="0.2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4"/>
      <c r="BW55" s="254"/>
      <c r="BX55" s="254"/>
      <c r="BY55" s="254"/>
      <c r="BZ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4"/>
      <c r="DO55" s="254"/>
      <c r="DP55" s="254"/>
    </row>
    <row r="56" spans="5:120" s="253" customFormat="1" ht="12" x14ac:dyDescent="0.2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4"/>
      <c r="BW56" s="254"/>
      <c r="BX56" s="254"/>
      <c r="BY56" s="254"/>
      <c r="BZ56" s="254"/>
      <c r="CB56" s="254"/>
      <c r="CC56" s="254"/>
      <c r="CD56" s="254"/>
      <c r="CE56" s="254"/>
      <c r="CF56" s="254"/>
      <c r="CG56" s="254"/>
      <c r="CH56" s="254"/>
      <c r="CI56" s="254"/>
      <c r="CJ56" s="254"/>
      <c r="CK56" s="254"/>
      <c r="CL56" s="254"/>
      <c r="CM56" s="254"/>
      <c r="CN56" s="254"/>
      <c r="CO56" s="254"/>
      <c r="CP56" s="254"/>
      <c r="CQ56" s="254"/>
      <c r="CR56" s="254"/>
      <c r="CS56" s="254"/>
      <c r="CT56" s="254"/>
      <c r="CU56" s="254"/>
      <c r="CV56" s="254"/>
      <c r="CW56" s="254"/>
      <c r="CX56" s="254"/>
      <c r="CY56" s="254"/>
      <c r="CZ56" s="254"/>
      <c r="DA56" s="254"/>
      <c r="DB56" s="254"/>
      <c r="DC56" s="254"/>
      <c r="DD56" s="254"/>
      <c r="DE56" s="254"/>
      <c r="DF56" s="254"/>
      <c r="DG56" s="254"/>
      <c r="DH56" s="254"/>
      <c r="DI56" s="254"/>
      <c r="DJ56" s="254"/>
      <c r="DK56" s="254"/>
      <c r="DL56" s="254"/>
      <c r="DM56" s="254"/>
      <c r="DN56" s="254"/>
      <c r="DO56" s="254"/>
      <c r="DP56" s="254"/>
    </row>
    <row r="57" spans="5:120" s="253" customFormat="1" ht="12" x14ac:dyDescent="0.2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4"/>
      <c r="BW57" s="254"/>
      <c r="BX57" s="254"/>
      <c r="BY57" s="254"/>
      <c r="BZ57" s="254"/>
      <c r="CB57" s="254"/>
      <c r="CC57" s="254"/>
      <c r="CD57" s="254"/>
      <c r="CE57" s="254"/>
      <c r="CF57" s="254"/>
      <c r="CG57" s="254"/>
      <c r="CH57" s="254"/>
      <c r="CI57" s="254"/>
      <c r="CJ57" s="254"/>
      <c r="CK57" s="254"/>
      <c r="CL57" s="254"/>
      <c r="CM57" s="254"/>
      <c r="CN57" s="254"/>
      <c r="CO57" s="254"/>
      <c r="CP57" s="254"/>
      <c r="CQ57" s="254"/>
      <c r="CR57" s="254"/>
      <c r="CS57" s="254"/>
      <c r="CT57" s="254"/>
      <c r="CU57" s="254"/>
      <c r="CV57" s="254"/>
      <c r="CW57" s="254"/>
      <c r="CX57" s="254"/>
      <c r="CY57" s="254"/>
      <c r="CZ57" s="254"/>
      <c r="DA57" s="254"/>
      <c r="DB57" s="254"/>
      <c r="DC57" s="254"/>
      <c r="DD57" s="254"/>
      <c r="DE57" s="254"/>
      <c r="DF57" s="254"/>
      <c r="DG57" s="254"/>
      <c r="DH57" s="254"/>
      <c r="DI57" s="254"/>
      <c r="DJ57" s="254"/>
      <c r="DK57" s="254"/>
      <c r="DL57" s="254"/>
      <c r="DM57" s="254"/>
      <c r="DN57" s="254"/>
      <c r="DO57" s="254"/>
      <c r="DP57" s="254"/>
    </row>
    <row r="58" spans="5:120" s="253" customFormat="1" ht="12" x14ac:dyDescent="0.2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B58" s="254"/>
      <c r="CC58" s="254"/>
      <c r="CD58" s="254"/>
      <c r="CE58" s="254"/>
      <c r="CF58" s="254"/>
      <c r="CG58" s="254"/>
      <c r="CH58" s="254"/>
      <c r="CI58" s="254"/>
      <c r="CJ58" s="254"/>
      <c r="CK58" s="254"/>
      <c r="CL58" s="254"/>
      <c r="CM58" s="254"/>
      <c r="CN58" s="254"/>
      <c r="CO58" s="254"/>
      <c r="CP58" s="254"/>
      <c r="CQ58" s="254"/>
      <c r="CR58" s="254"/>
      <c r="CS58" s="254"/>
      <c r="CT58" s="254"/>
      <c r="CU58" s="254"/>
      <c r="CV58" s="254"/>
      <c r="CW58" s="254"/>
      <c r="CX58" s="254"/>
      <c r="CY58" s="254"/>
      <c r="CZ58" s="254"/>
      <c r="DA58" s="254"/>
      <c r="DB58" s="254"/>
      <c r="DC58" s="254"/>
      <c r="DD58" s="254"/>
      <c r="DE58" s="254"/>
      <c r="DF58" s="254"/>
      <c r="DG58" s="254"/>
      <c r="DH58" s="254"/>
      <c r="DI58" s="254"/>
      <c r="DJ58" s="254"/>
      <c r="DK58" s="254"/>
      <c r="DL58" s="254"/>
      <c r="DM58" s="254"/>
      <c r="DN58" s="254"/>
      <c r="DO58" s="254"/>
      <c r="DP58" s="254"/>
    </row>
    <row r="59" spans="5:120" s="253" customFormat="1" ht="12" x14ac:dyDescent="0.2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254"/>
      <c r="DL59" s="254"/>
      <c r="DM59" s="254"/>
      <c r="DN59" s="254"/>
      <c r="DO59" s="254"/>
      <c r="DP59" s="254"/>
    </row>
    <row r="60" spans="5:120" s="253" customFormat="1" ht="12" x14ac:dyDescent="0.2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4"/>
      <c r="BW60" s="254"/>
      <c r="BX60" s="254"/>
      <c r="BY60" s="254"/>
      <c r="BZ60" s="254"/>
      <c r="CB60" s="254"/>
      <c r="CC60" s="254"/>
      <c r="CD60" s="254"/>
      <c r="CE60" s="254"/>
      <c r="CF60" s="254"/>
      <c r="CG60" s="254"/>
      <c r="CH60" s="254"/>
      <c r="CI60" s="254"/>
      <c r="CJ60" s="254"/>
      <c r="CK60" s="254"/>
      <c r="CL60" s="254"/>
      <c r="CM60" s="254"/>
      <c r="CN60" s="254"/>
      <c r="CO60" s="254"/>
      <c r="CP60" s="254"/>
      <c r="CQ60" s="254"/>
      <c r="CR60" s="254"/>
      <c r="CS60" s="254"/>
      <c r="CT60" s="254"/>
      <c r="CU60" s="254"/>
      <c r="CV60" s="254"/>
      <c r="CW60" s="254"/>
      <c r="CX60" s="254"/>
      <c r="CY60" s="254"/>
      <c r="CZ60" s="254"/>
      <c r="DA60" s="254"/>
      <c r="DB60" s="254"/>
      <c r="DC60" s="254"/>
      <c r="DD60" s="254"/>
      <c r="DE60" s="254"/>
      <c r="DF60" s="254"/>
      <c r="DG60" s="254"/>
      <c r="DH60" s="254"/>
      <c r="DI60" s="254"/>
      <c r="DJ60" s="254"/>
      <c r="DK60" s="254"/>
      <c r="DL60" s="254"/>
      <c r="DM60" s="254"/>
      <c r="DN60" s="254"/>
      <c r="DO60" s="254"/>
      <c r="DP60" s="254"/>
    </row>
    <row r="61" spans="5:120" s="253" customFormat="1" ht="12" x14ac:dyDescent="0.2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4"/>
      <c r="BW61" s="254"/>
      <c r="BX61" s="254"/>
      <c r="BY61" s="254"/>
      <c r="BZ61" s="254"/>
      <c r="CB61" s="254"/>
      <c r="CC61" s="254"/>
      <c r="CD61" s="254"/>
      <c r="CE61" s="254"/>
      <c r="CF61" s="254"/>
      <c r="CG61" s="254"/>
      <c r="CH61" s="254"/>
      <c r="CI61" s="254"/>
      <c r="CJ61" s="254"/>
      <c r="CK61" s="254"/>
      <c r="CL61" s="254"/>
      <c r="CM61" s="254"/>
      <c r="CN61" s="254"/>
      <c r="CO61" s="254"/>
      <c r="CP61" s="254"/>
      <c r="CQ61" s="254"/>
      <c r="CR61" s="254"/>
      <c r="CS61" s="254"/>
      <c r="CT61" s="254"/>
      <c r="CU61" s="254"/>
      <c r="CV61" s="254"/>
      <c r="CW61" s="254"/>
      <c r="CX61" s="254"/>
      <c r="CY61" s="254"/>
      <c r="CZ61" s="254"/>
      <c r="DA61" s="254"/>
      <c r="DB61" s="254"/>
      <c r="DC61" s="254"/>
      <c r="DD61" s="254"/>
      <c r="DE61" s="254"/>
      <c r="DF61" s="254"/>
      <c r="DG61" s="254"/>
      <c r="DH61" s="254"/>
      <c r="DI61" s="254"/>
      <c r="DJ61" s="254"/>
      <c r="DK61" s="254"/>
      <c r="DL61" s="254"/>
      <c r="DM61" s="254"/>
      <c r="DN61" s="254"/>
      <c r="DO61" s="254"/>
      <c r="DP61" s="254"/>
    </row>
    <row r="62" spans="5:120" s="253" customFormat="1" ht="12" x14ac:dyDescent="0.2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4"/>
      <c r="BW62" s="254"/>
      <c r="BX62" s="254"/>
      <c r="BY62" s="254"/>
      <c r="BZ62" s="254"/>
      <c r="CB62" s="254"/>
      <c r="CC62" s="254"/>
      <c r="CD62" s="254"/>
      <c r="CE62" s="254"/>
      <c r="CF62" s="254"/>
      <c r="CG62" s="254"/>
      <c r="CH62" s="254"/>
      <c r="CI62" s="254"/>
      <c r="CJ62" s="254"/>
      <c r="CK62" s="254"/>
      <c r="CL62" s="254"/>
      <c r="CM62" s="254"/>
      <c r="CN62" s="254"/>
      <c r="CO62" s="254"/>
      <c r="CP62" s="254"/>
      <c r="CQ62" s="254"/>
      <c r="CR62" s="254"/>
      <c r="CS62" s="254"/>
      <c r="CT62" s="254"/>
      <c r="CU62" s="254"/>
      <c r="CV62" s="254"/>
      <c r="CW62" s="254"/>
      <c r="CX62" s="254"/>
      <c r="CY62" s="254"/>
      <c r="CZ62" s="254"/>
      <c r="DA62" s="254"/>
      <c r="DB62" s="254"/>
      <c r="DC62" s="254"/>
      <c r="DD62" s="254"/>
      <c r="DE62" s="254"/>
      <c r="DF62" s="254"/>
      <c r="DG62" s="254"/>
      <c r="DH62" s="254"/>
      <c r="DI62" s="254"/>
      <c r="DJ62" s="254"/>
      <c r="DK62" s="254"/>
      <c r="DL62" s="254"/>
      <c r="DM62" s="254"/>
      <c r="DN62" s="254"/>
      <c r="DO62" s="254"/>
      <c r="DP62" s="254"/>
    </row>
    <row r="63" spans="5:120" s="253" customFormat="1" ht="12" x14ac:dyDescent="0.2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4"/>
      <c r="BT63" s="254"/>
      <c r="BU63" s="254"/>
      <c r="BV63" s="254"/>
      <c r="BW63" s="254"/>
      <c r="BX63" s="254"/>
      <c r="BY63" s="254"/>
      <c r="BZ63" s="254"/>
      <c r="CB63" s="254"/>
      <c r="CC63" s="254"/>
      <c r="CD63" s="254"/>
      <c r="CE63" s="254"/>
      <c r="CF63" s="254"/>
      <c r="CG63" s="254"/>
      <c r="CH63" s="254"/>
      <c r="CI63" s="254"/>
      <c r="CJ63" s="254"/>
      <c r="CK63" s="254"/>
      <c r="CL63" s="254"/>
      <c r="CM63" s="254"/>
      <c r="CN63" s="254"/>
      <c r="CO63" s="254"/>
      <c r="CP63" s="254"/>
      <c r="CQ63" s="254"/>
      <c r="CR63" s="254"/>
      <c r="CS63" s="254"/>
      <c r="CT63" s="254"/>
      <c r="CU63" s="254"/>
      <c r="CV63" s="254"/>
      <c r="CW63" s="254"/>
      <c r="CX63" s="254"/>
      <c r="CY63" s="254"/>
      <c r="CZ63" s="254"/>
      <c r="DA63" s="254"/>
      <c r="DB63" s="254"/>
      <c r="DC63" s="254"/>
      <c r="DD63" s="254"/>
      <c r="DE63" s="254"/>
      <c r="DF63" s="254"/>
      <c r="DG63" s="254"/>
      <c r="DH63" s="254"/>
      <c r="DI63" s="254"/>
      <c r="DJ63" s="254"/>
      <c r="DK63" s="254"/>
      <c r="DL63" s="254"/>
      <c r="DM63" s="254"/>
      <c r="DN63" s="254"/>
      <c r="DO63" s="254"/>
      <c r="DP63" s="254"/>
    </row>
    <row r="64" spans="5:120" s="253" customFormat="1" ht="12" x14ac:dyDescent="0.2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4"/>
      <c r="BS64" s="254"/>
      <c r="BT64" s="254"/>
      <c r="BU64" s="254"/>
      <c r="BV64" s="254"/>
      <c r="BW64" s="254"/>
      <c r="BX64" s="254"/>
      <c r="BY64" s="254"/>
      <c r="BZ64" s="254"/>
      <c r="CB64" s="254"/>
      <c r="CC64" s="254"/>
      <c r="CD64" s="254"/>
      <c r="CE64" s="254"/>
      <c r="CF64" s="254"/>
      <c r="CG64" s="254"/>
      <c r="CH64" s="254"/>
      <c r="CI64" s="254"/>
      <c r="CJ64" s="254"/>
      <c r="CK64" s="254"/>
      <c r="CL64" s="254"/>
      <c r="CM64" s="254"/>
      <c r="CN64" s="254"/>
      <c r="CO64" s="254"/>
      <c r="CP64" s="254"/>
      <c r="CQ64" s="254"/>
      <c r="CR64" s="254"/>
      <c r="CS64" s="254"/>
      <c r="CT64" s="254"/>
      <c r="CU64" s="254"/>
      <c r="CV64" s="254"/>
      <c r="CW64" s="254"/>
      <c r="CX64" s="254"/>
      <c r="CY64" s="254"/>
      <c r="CZ64" s="254"/>
      <c r="DA64" s="254"/>
      <c r="DB64" s="254"/>
      <c r="DC64" s="254"/>
      <c r="DD64" s="254"/>
      <c r="DE64" s="254"/>
      <c r="DF64" s="254"/>
      <c r="DG64" s="254"/>
      <c r="DH64" s="254"/>
      <c r="DI64" s="254"/>
      <c r="DJ64" s="254"/>
      <c r="DK64" s="254"/>
      <c r="DL64" s="254"/>
      <c r="DM64" s="254"/>
      <c r="DN64" s="254"/>
      <c r="DO64" s="254"/>
      <c r="DP64" s="254"/>
    </row>
    <row r="65" spans="5:120" s="253" customFormat="1" ht="12" x14ac:dyDescent="0.2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4"/>
      <c r="BW65" s="254"/>
      <c r="BX65" s="254"/>
      <c r="BY65" s="254"/>
      <c r="BZ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4"/>
      <c r="DO65" s="254"/>
      <c r="DP65" s="254"/>
    </row>
    <row r="66" spans="5:120" s="253" customFormat="1" ht="12" x14ac:dyDescent="0.2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54"/>
      <c r="BS66" s="254"/>
      <c r="BT66" s="254"/>
      <c r="BU66" s="254"/>
      <c r="BV66" s="254"/>
      <c r="BW66" s="254"/>
      <c r="BX66" s="254"/>
      <c r="BY66" s="254"/>
      <c r="BZ66" s="254"/>
      <c r="CB66" s="254"/>
      <c r="CC66" s="254"/>
      <c r="CD66" s="254"/>
      <c r="CE66" s="254"/>
      <c r="CF66" s="254"/>
      <c r="CG66" s="254"/>
      <c r="CH66" s="254"/>
      <c r="CI66" s="254"/>
      <c r="CJ66" s="254"/>
      <c r="CK66" s="254"/>
      <c r="CL66" s="254"/>
      <c r="CM66" s="254"/>
      <c r="CN66" s="254"/>
      <c r="CO66" s="254"/>
      <c r="CP66" s="254"/>
      <c r="CQ66" s="254"/>
      <c r="CR66" s="254"/>
      <c r="CS66" s="254"/>
      <c r="CT66" s="254"/>
      <c r="CU66" s="254"/>
      <c r="CV66" s="254"/>
      <c r="CW66" s="254"/>
      <c r="CX66" s="254"/>
      <c r="CY66" s="254"/>
      <c r="CZ66" s="254"/>
      <c r="DA66" s="254"/>
      <c r="DB66" s="254"/>
      <c r="DC66" s="254"/>
      <c r="DD66" s="254"/>
      <c r="DE66" s="254"/>
      <c r="DF66" s="254"/>
      <c r="DG66" s="254"/>
      <c r="DH66" s="254"/>
      <c r="DI66" s="254"/>
      <c r="DJ66" s="254"/>
      <c r="DK66" s="254"/>
      <c r="DL66" s="254"/>
      <c r="DM66" s="254"/>
      <c r="DN66" s="254"/>
      <c r="DO66" s="254"/>
      <c r="DP66" s="254"/>
    </row>
    <row r="67" spans="5:120" s="253" customFormat="1" ht="12" x14ac:dyDescent="0.2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4"/>
      <c r="BW67" s="254"/>
      <c r="BX67" s="254"/>
      <c r="BY67" s="254"/>
      <c r="BZ67" s="254"/>
      <c r="CB67" s="254"/>
      <c r="CC67" s="254"/>
      <c r="CD67" s="254"/>
      <c r="CE67" s="254"/>
      <c r="CF67" s="254"/>
      <c r="CG67" s="254"/>
      <c r="CH67" s="254"/>
      <c r="CI67" s="254"/>
      <c r="CJ67" s="254"/>
      <c r="CK67" s="254"/>
      <c r="CL67" s="254"/>
      <c r="CM67" s="254"/>
      <c r="CN67" s="254"/>
      <c r="CO67" s="254"/>
      <c r="CP67" s="254"/>
      <c r="CQ67" s="254"/>
      <c r="CR67" s="254"/>
      <c r="CS67" s="254"/>
      <c r="CT67" s="254"/>
      <c r="CU67" s="254"/>
      <c r="CV67" s="254"/>
      <c r="CW67" s="254"/>
      <c r="CX67" s="254"/>
      <c r="CY67" s="254"/>
      <c r="CZ67" s="254"/>
      <c r="DA67" s="254"/>
      <c r="DB67" s="254"/>
      <c r="DC67" s="254"/>
      <c r="DD67" s="254"/>
      <c r="DE67" s="254"/>
      <c r="DF67" s="254"/>
      <c r="DG67" s="254"/>
      <c r="DH67" s="254"/>
      <c r="DI67" s="254"/>
      <c r="DJ67" s="254"/>
      <c r="DK67" s="254"/>
      <c r="DL67" s="254"/>
      <c r="DM67" s="254"/>
      <c r="DN67" s="254"/>
      <c r="DO67" s="254"/>
      <c r="DP67" s="254"/>
    </row>
    <row r="68" spans="5:120" s="253" customFormat="1" ht="12" x14ac:dyDescent="0.2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BQ68" s="254"/>
      <c r="BR68" s="254"/>
      <c r="BS68" s="254"/>
      <c r="BT68" s="254"/>
      <c r="BU68" s="254"/>
      <c r="BV68" s="254"/>
      <c r="BW68" s="254"/>
      <c r="BX68" s="254"/>
      <c r="BY68" s="254"/>
      <c r="BZ68" s="254"/>
      <c r="CB68" s="254"/>
      <c r="CC68" s="254"/>
      <c r="CD68" s="254"/>
      <c r="CE68" s="254"/>
      <c r="CF68" s="254"/>
      <c r="CG68" s="254"/>
      <c r="CH68" s="254"/>
      <c r="CI68" s="254"/>
      <c r="CJ68" s="254"/>
      <c r="CK68" s="254"/>
      <c r="CL68" s="254"/>
      <c r="CM68" s="254"/>
      <c r="CN68" s="254"/>
      <c r="CO68" s="254"/>
      <c r="CP68" s="254"/>
      <c r="CQ68" s="254"/>
      <c r="CR68" s="254"/>
      <c r="CS68" s="254"/>
      <c r="CT68" s="254"/>
      <c r="CU68" s="254"/>
      <c r="CV68" s="254"/>
      <c r="CW68" s="254"/>
      <c r="CX68" s="254"/>
      <c r="CY68" s="254"/>
      <c r="CZ68" s="254"/>
      <c r="DA68" s="254"/>
      <c r="DB68" s="254"/>
      <c r="DC68" s="254"/>
      <c r="DD68" s="254"/>
      <c r="DE68" s="254"/>
      <c r="DF68" s="254"/>
      <c r="DG68" s="254"/>
      <c r="DH68" s="254"/>
      <c r="DI68" s="254"/>
      <c r="DJ68" s="254"/>
      <c r="DK68" s="254"/>
      <c r="DL68" s="254"/>
      <c r="DM68" s="254"/>
      <c r="DN68" s="254"/>
      <c r="DO68" s="254"/>
      <c r="DP68" s="254"/>
    </row>
    <row r="69" spans="5:120" s="253" customFormat="1" ht="12" x14ac:dyDescent="0.2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4"/>
      <c r="BP69" s="254"/>
      <c r="BQ69" s="254"/>
      <c r="BR69" s="254"/>
      <c r="BS69" s="254"/>
      <c r="BT69" s="254"/>
      <c r="BU69" s="254"/>
      <c r="BV69" s="254"/>
      <c r="BW69" s="254"/>
      <c r="BX69" s="254"/>
      <c r="BY69" s="254"/>
      <c r="BZ69" s="254"/>
      <c r="CB69" s="254"/>
      <c r="CC69" s="254"/>
      <c r="CD69" s="254"/>
      <c r="CE69" s="254"/>
      <c r="CF69" s="254"/>
      <c r="CG69" s="254"/>
      <c r="CH69" s="254"/>
      <c r="CI69" s="254"/>
      <c r="CJ69" s="254"/>
      <c r="CK69" s="254"/>
      <c r="CL69" s="254"/>
      <c r="CM69" s="254"/>
      <c r="CN69" s="254"/>
      <c r="CO69" s="254"/>
      <c r="CP69" s="254"/>
      <c r="CQ69" s="254"/>
      <c r="CR69" s="254"/>
      <c r="CS69" s="254"/>
      <c r="CT69" s="254"/>
      <c r="CU69" s="254"/>
      <c r="CV69" s="254"/>
      <c r="CW69" s="254"/>
      <c r="CX69" s="254"/>
      <c r="CY69" s="254"/>
      <c r="CZ69" s="254"/>
      <c r="DA69" s="254"/>
      <c r="DB69" s="254"/>
      <c r="DC69" s="254"/>
      <c r="DD69" s="254"/>
      <c r="DE69" s="254"/>
      <c r="DF69" s="254"/>
      <c r="DG69" s="254"/>
      <c r="DH69" s="254"/>
      <c r="DI69" s="254"/>
      <c r="DJ69" s="254"/>
      <c r="DK69" s="254"/>
      <c r="DL69" s="254"/>
      <c r="DM69" s="254"/>
      <c r="DN69" s="254"/>
      <c r="DO69" s="254"/>
      <c r="DP69" s="254"/>
    </row>
    <row r="70" spans="5:120" s="253" customFormat="1" ht="12" x14ac:dyDescent="0.2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4"/>
      <c r="BW70" s="254"/>
      <c r="BX70" s="254"/>
      <c r="BY70" s="254"/>
      <c r="BZ70" s="254"/>
      <c r="CB70" s="254"/>
      <c r="CC70" s="254"/>
      <c r="CD70" s="254"/>
      <c r="CE70" s="254"/>
      <c r="CF70" s="254"/>
      <c r="CG70" s="254"/>
      <c r="CH70" s="254"/>
      <c r="CI70" s="254"/>
      <c r="CJ70" s="254"/>
      <c r="CK70" s="254"/>
      <c r="CL70" s="254"/>
      <c r="CM70" s="254"/>
      <c r="CN70" s="254"/>
      <c r="CO70" s="254"/>
      <c r="CP70" s="254"/>
      <c r="CQ70" s="254"/>
      <c r="CR70" s="254"/>
      <c r="CS70" s="254"/>
      <c r="CT70" s="254"/>
      <c r="CU70" s="254"/>
      <c r="CV70" s="254"/>
      <c r="CW70" s="254"/>
      <c r="CX70" s="254"/>
      <c r="CY70" s="254"/>
      <c r="CZ70" s="254"/>
      <c r="DA70" s="254"/>
      <c r="DB70" s="254"/>
      <c r="DC70" s="254"/>
      <c r="DD70" s="254"/>
      <c r="DE70" s="254"/>
      <c r="DF70" s="254"/>
      <c r="DG70" s="254"/>
      <c r="DH70" s="254"/>
      <c r="DI70" s="254"/>
      <c r="DJ70" s="254"/>
      <c r="DK70" s="254"/>
      <c r="DL70" s="254"/>
      <c r="DM70" s="254"/>
      <c r="DN70" s="254"/>
      <c r="DO70" s="254"/>
      <c r="DP70" s="254"/>
    </row>
    <row r="71" spans="5:120" s="253" customFormat="1" ht="12" x14ac:dyDescent="0.2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4"/>
      <c r="BW71" s="254"/>
      <c r="BX71" s="254"/>
      <c r="BY71" s="254"/>
      <c r="BZ71" s="254"/>
      <c r="CB71" s="254"/>
      <c r="CC71" s="254"/>
      <c r="CD71" s="254"/>
      <c r="CE71" s="254"/>
      <c r="CF71" s="254"/>
      <c r="CG71" s="254"/>
      <c r="CH71" s="254"/>
      <c r="CI71" s="254"/>
      <c r="CJ71" s="254"/>
      <c r="CK71" s="254"/>
      <c r="CL71" s="254"/>
      <c r="CM71" s="254"/>
      <c r="CN71" s="254"/>
      <c r="CO71" s="254"/>
      <c r="CP71" s="254"/>
      <c r="CQ71" s="254"/>
      <c r="CR71" s="254"/>
      <c r="CS71" s="254"/>
      <c r="CT71" s="254"/>
      <c r="CU71" s="254"/>
      <c r="CV71" s="254"/>
      <c r="CW71" s="254"/>
      <c r="CX71" s="254"/>
      <c r="CY71" s="254"/>
      <c r="CZ71" s="254"/>
      <c r="DA71" s="254"/>
      <c r="DB71" s="254"/>
      <c r="DC71" s="254"/>
      <c r="DD71" s="254"/>
      <c r="DE71" s="254"/>
      <c r="DF71" s="254"/>
      <c r="DG71" s="254"/>
      <c r="DH71" s="254"/>
      <c r="DI71" s="254"/>
      <c r="DJ71" s="254"/>
      <c r="DK71" s="254"/>
      <c r="DL71" s="254"/>
      <c r="DM71" s="254"/>
      <c r="DN71" s="254"/>
      <c r="DO71" s="254"/>
      <c r="DP71" s="254"/>
    </row>
    <row r="72" spans="5:120" s="253" customFormat="1" ht="12" x14ac:dyDescent="0.2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4"/>
      <c r="BW72" s="254"/>
      <c r="BX72" s="254"/>
      <c r="BY72" s="254"/>
      <c r="BZ72" s="254"/>
      <c r="CB72" s="254"/>
      <c r="CC72" s="254"/>
      <c r="CD72" s="254"/>
      <c r="CE72" s="254"/>
      <c r="CF72" s="254"/>
      <c r="CG72" s="254"/>
      <c r="CH72" s="254"/>
      <c r="CI72" s="254"/>
      <c r="CJ72" s="254"/>
      <c r="CK72" s="254"/>
      <c r="CL72" s="254"/>
      <c r="CM72" s="254"/>
      <c r="CN72" s="254"/>
      <c r="CO72" s="254"/>
      <c r="CP72" s="254"/>
      <c r="CQ72" s="254"/>
      <c r="CR72" s="254"/>
      <c r="CS72" s="254"/>
      <c r="CT72" s="254"/>
      <c r="CU72" s="254"/>
      <c r="CV72" s="254"/>
      <c r="CW72" s="254"/>
      <c r="CX72" s="254"/>
      <c r="CY72" s="254"/>
      <c r="CZ72" s="254"/>
      <c r="DA72" s="254"/>
      <c r="DB72" s="254"/>
      <c r="DC72" s="254"/>
      <c r="DD72" s="254"/>
      <c r="DE72" s="254"/>
      <c r="DF72" s="254"/>
      <c r="DG72" s="254"/>
      <c r="DH72" s="254"/>
      <c r="DI72" s="254"/>
      <c r="DJ72" s="254"/>
      <c r="DK72" s="254"/>
      <c r="DL72" s="254"/>
      <c r="DM72" s="254"/>
      <c r="DN72" s="254"/>
      <c r="DO72" s="254"/>
      <c r="DP72" s="254"/>
    </row>
    <row r="73" spans="5:120" s="253" customFormat="1" ht="12" x14ac:dyDescent="0.2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  <c r="BT73" s="254"/>
      <c r="BU73" s="254"/>
      <c r="BV73" s="254"/>
      <c r="BW73" s="254"/>
      <c r="BX73" s="254"/>
      <c r="BY73" s="254"/>
      <c r="BZ73" s="254"/>
      <c r="CB73" s="254"/>
      <c r="CC73" s="254"/>
      <c r="CD73" s="254"/>
      <c r="CE73" s="254"/>
      <c r="CF73" s="254"/>
      <c r="CG73" s="254"/>
      <c r="CH73" s="254"/>
      <c r="CI73" s="254"/>
      <c r="CJ73" s="254"/>
      <c r="CK73" s="254"/>
      <c r="CL73" s="254"/>
      <c r="CM73" s="254"/>
      <c r="CN73" s="254"/>
      <c r="CO73" s="254"/>
      <c r="CP73" s="254"/>
      <c r="CQ73" s="254"/>
      <c r="CR73" s="254"/>
      <c r="CS73" s="254"/>
      <c r="CT73" s="254"/>
      <c r="CU73" s="254"/>
      <c r="CV73" s="254"/>
      <c r="CW73" s="254"/>
      <c r="CX73" s="254"/>
      <c r="CY73" s="254"/>
      <c r="CZ73" s="254"/>
      <c r="DA73" s="254"/>
      <c r="DB73" s="254"/>
      <c r="DC73" s="254"/>
      <c r="DD73" s="254"/>
      <c r="DE73" s="254"/>
      <c r="DF73" s="254"/>
      <c r="DG73" s="254"/>
      <c r="DH73" s="254"/>
      <c r="DI73" s="254"/>
      <c r="DJ73" s="254"/>
      <c r="DK73" s="254"/>
      <c r="DL73" s="254"/>
      <c r="DM73" s="254"/>
      <c r="DN73" s="254"/>
      <c r="DO73" s="254"/>
      <c r="DP73" s="254"/>
    </row>
    <row r="74" spans="5:120" s="253" customFormat="1" ht="12" x14ac:dyDescent="0.2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4"/>
      <c r="BW74" s="254"/>
      <c r="BX74" s="254"/>
      <c r="BY74" s="254"/>
      <c r="BZ74" s="254"/>
      <c r="CB74" s="254"/>
      <c r="CC74" s="254"/>
      <c r="CD74" s="254"/>
      <c r="CE74" s="254"/>
      <c r="CF74" s="254"/>
      <c r="CG74" s="254"/>
      <c r="CH74" s="254"/>
      <c r="CI74" s="254"/>
      <c r="CJ74" s="254"/>
      <c r="CK74" s="254"/>
      <c r="CL74" s="254"/>
      <c r="CM74" s="254"/>
      <c r="CN74" s="254"/>
      <c r="CO74" s="254"/>
      <c r="CP74" s="254"/>
      <c r="CQ74" s="254"/>
      <c r="CR74" s="254"/>
      <c r="CS74" s="254"/>
      <c r="CT74" s="254"/>
      <c r="CU74" s="254"/>
      <c r="CV74" s="254"/>
      <c r="CW74" s="254"/>
      <c r="CX74" s="254"/>
      <c r="CY74" s="254"/>
      <c r="CZ74" s="254"/>
      <c r="DA74" s="254"/>
      <c r="DB74" s="254"/>
      <c r="DC74" s="254"/>
      <c r="DD74" s="254"/>
      <c r="DE74" s="254"/>
      <c r="DF74" s="254"/>
      <c r="DG74" s="254"/>
      <c r="DH74" s="254"/>
      <c r="DI74" s="254"/>
      <c r="DJ74" s="254"/>
      <c r="DK74" s="254"/>
      <c r="DL74" s="254"/>
      <c r="DM74" s="254"/>
      <c r="DN74" s="254"/>
      <c r="DO74" s="254"/>
      <c r="DP74" s="254"/>
    </row>
    <row r="75" spans="5:120" s="253" customFormat="1" ht="12" x14ac:dyDescent="0.2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4"/>
      <c r="BW75" s="254"/>
      <c r="BX75" s="254"/>
      <c r="BY75" s="254"/>
      <c r="BZ75" s="254"/>
      <c r="CB75" s="254"/>
      <c r="CC75" s="254"/>
      <c r="CD75" s="254"/>
      <c r="CE75" s="254"/>
      <c r="CF75" s="254"/>
      <c r="CG75" s="254"/>
      <c r="CH75" s="254"/>
      <c r="CI75" s="254"/>
      <c r="CJ75" s="254"/>
      <c r="CK75" s="254"/>
      <c r="CL75" s="254"/>
      <c r="CM75" s="254"/>
      <c r="CN75" s="254"/>
      <c r="CO75" s="254"/>
      <c r="CP75" s="254"/>
      <c r="CQ75" s="254"/>
      <c r="CR75" s="254"/>
      <c r="CS75" s="254"/>
      <c r="CT75" s="254"/>
      <c r="CU75" s="254"/>
      <c r="CV75" s="254"/>
      <c r="CW75" s="254"/>
      <c r="CX75" s="254"/>
      <c r="CY75" s="254"/>
      <c r="CZ75" s="254"/>
      <c r="DA75" s="254"/>
      <c r="DB75" s="254"/>
      <c r="DC75" s="254"/>
      <c r="DD75" s="254"/>
      <c r="DE75" s="254"/>
      <c r="DF75" s="254"/>
      <c r="DG75" s="254"/>
      <c r="DH75" s="254"/>
      <c r="DI75" s="254"/>
      <c r="DJ75" s="254"/>
      <c r="DK75" s="254"/>
      <c r="DL75" s="254"/>
      <c r="DM75" s="254"/>
      <c r="DN75" s="254"/>
      <c r="DO75" s="254"/>
      <c r="DP75" s="254"/>
    </row>
    <row r="76" spans="5:120" s="253" customFormat="1" ht="12" x14ac:dyDescent="0.2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  <c r="BT76" s="254"/>
      <c r="BU76" s="254"/>
      <c r="BV76" s="254"/>
      <c r="BW76" s="254"/>
      <c r="BX76" s="254"/>
      <c r="BY76" s="254"/>
      <c r="BZ76" s="254"/>
      <c r="CB76" s="254"/>
      <c r="CC76" s="254"/>
      <c r="CD76" s="254"/>
      <c r="CE76" s="254"/>
      <c r="CF76" s="254"/>
      <c r="CG76" s="254"/>
      <c r="CH76" s="254"/>
      <c r="CI76" s="254"/>
      <c r="CJ76" s="254"/>
      <c r="CK76" s="254"/>
      <c r="CL76" s="254"/>
      <c r="CM76" s="254"/>
      <c r="CN76" s="254"/>
      <c r="CO76" s="254"/>
      <c r="CP76" s="254"/>
      <c r="CQ76" s="254"/>
      <c r="CR76" s="254"/>
      <c r="CS76" s="254"/>
      <c r="CT76" s="254"/>
      <c r="CU76" s="254"/>
      <c r="CV76" s="254"/>
      <c r="CW76" s="254"/>
      <c r="CX76" s="254"/>
      <c r="CY76" s="254"/>
      <c r="CZ76" s="254"/>
      <c r="DA76" s="254"/>
      <c r="DB76" s="254"/>
      <c r="DC76" s="254"/>
      <c r="DD76" s="254"/>
      <c r="DE76" s="254"/>
      <c r="DF76" s="254"/>
      <c r="DG76" s="254"/>
      <c r="DH76" s="254"/>
      <c r="DI76" s="254"/>
      <c r="DJ76" s="254"/>
      <c r="DK76" s="254"/>
      <c r="DL76" s="254"/>
      <c r="DM76" s="254"/>
      <c r="DN76" s="254"/>
      <c r="DO76" s="254"/>
      <c r="DP76" s="254"/>
    </row>
    <row r="77" spans="5:120" s="253" customFormat="1" ht="12" x14ac:dyDescent="0.2"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4"/>
      <c r="BW77" s="254"/>
      <c r="BX77" s="254"/>
      <c r="BY77" s="254"/>
      <c r="BZ77" s="254"/>
      <c r="CB77" s="254"/>
      <c r="CC77" s="254"/>
      <c r="CD77" s="254"/>
      <c r="CE77" s="254"/>
      <c r="CF77" s="254"/>
      <c r="CG77" s="254"/>
      <c r="CH77" s="254"/>
      <c r="CI77" s="254"/>
      <c r="CJ77" s="254"/>
      <c r="CK77" s="254"/>
      <c r="CL77" s="254"/>
      <c r="CM77" s="254"/>
      <c r="CN77" s="254"/>
      <c r="CO77" s="254"/>
      <c r="CP77" s="254"/>
      <c r="CQ77" s="254"/>
      <c r="CR77" s="254"/>
      <c r="CS77" s="254"/>
      <c r="CT77" s="254"/>
      <c r="CU77" s="254"/>
      <c r="CV77" s="254"/>
      <c r="CW77" s="254"/>
      <c r="CX77" s="254"/>
      <c r="CY77" s="254"/>
      <c r="CZ77" s="254"/>
      <c r="DA77" s="254"/>
      <c r="DB77" s="254"/>
      <c r="DC77" s="254"/>
      <c r="DD77" s="254"/>
      <c r="DE77" s="254"/>
      <c r="DF77" s="254"/>
      <c r="DG77" s="254"/>
      <c r="DH77" s="254"/>
      <c r="DI77" s="254"/>
      <c r="DJ77" s="254"/>
      <c r="DK77" s="254"/>
      <c r="DL77" s="254"/>
      <c r="DM77" s="254"/>
      <c r="DN77" s="254"/>
      <c r="DO77" s="254"/>
      <c r="DP77" s="254"/>
    </row>
    <row r="78" spans="5:120" s="253" customFormat="1" ht="12" x14ac:dyDescent="0.2"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4"/>
      <c r="BW78" s="254"/>
      <c r="BX78" s="254"/>
      <c r="BY78" s="254"/>
      <c r="BZ78" s="254"/>
      <c r="CB78" s="254"/>
      <c r="CC78" s="254"/>
      <c r="CD78" s="254"/>
      <c r="CE78" s="254"/>
      <c r="CF78" s="254"/>
      <c r="CG78" s="254"/>
      <c r="CH78" s="254"/>
      <c r="CI78" s="254"/>
      <c r="CJ78" s="254"/>
      <c r="CK78" s="254"/>
      <c r="CL78" s="254"/>
      <c r="CM78" s="254"/>
      <c r="CN78" s="254"/>
      <c r="CO78" s="254"/>
      <c r="CP78" s="254"/>
      <c r="CQ78" s="254"/>
      <c r="CR78" s="254"/>
      <c r="CS78" s="254"/>
      <c r="CT78" s="254"/>
      <c r="CU78" s="254"/>
      <c r="CV78" s="254"/>
      <c r="CW78" s="254"/>
      <c r="CX78" s="254"/>
      <c r="CY78" s="254"/>
      <c r="CZ78" s="254"/>
      <c r="DA78" s="254"/>
      <c r="DB78" s="254"/>
      <c r="DC78" s="254"/>
      <c r="DD78" s="254"/>
      <c r="DE78" s="254"/>
      <c r="DF78" s="254"/>
      <c r="DG78" s="254"/>
      <c r="DH78" s="254"/>
      <c r="DI78" s="254"/>
      <c r="DJ78" s="254"/>
      <c r="DK78" s="254"/>
      <c r="DL78" s="254"/>
      <c r="DM78" s="254"/>
      <c r="DN78" s="254"/>
      <c r="DO78" s="254"/>
      <c r="DP78" s="254"/>
    </row>
    <row r="79" spans="5:120" s="253" customFormat="1" ht="12" x14ac:dyDescent="0.2"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4"/>
      <c r="BW79" s="254"/>
      <c r="BX79" s="254"/>
      <c r="BY79" s="254"/>
      <c r="BZ79" s="254"/>
      <c r="CB79" s="254"/>
      <c r="CC79" s="254"/>
      <c r="CD79" s="254"/>
      <c r="CE79" s="254"/>
      <c r="CF79" s="254"/>
      <c r="CG79" s="254"/>
      <c r="CH79" s="254"/>
      <c r="CI79" s="254"/>
      <c r="CJ79" s="254"/>
      <c r="CK79" s="254"/>
      <c r="CL79" s="254"/>
      <c r="CM79" s="254"/>
      <c r="CN79" s="254"/>
      <c r="CO79" s="254"/>
      <c r="CP79" s="254"/>
      <c r="CQ79" s="254"/>
      <c r="CR79" s="254"/>
      <c r="CS79" s="254"/>
      <c r="CT79" s="254"/>
      <c r="CU79" s="254"/>
      <c r="CV79" s="254"/>
      <c r="CW79" s="254"/>
      <c r="CX79" s="254"/>
      <c r="CY79" s="254"/>
      <c r="CZ79" s="254"/>
      <c r="DA79" s="254"/>
      <c r="DB79" s="254"/>
      <c r="DC79" s="254"/>
      <c r="DD79" s="254"/>
      <c r="DE79" s="254"/>
      <c r="DF79" s="254"/>
      <c r="DG79" s="254"/>
      <c r="DH79" s="254"/>
      <c r="DI79" s="254"/>
      <c r="DJ79" s="254"/>
      <c r="DK79" s="254"/>
      <c r="DL79" s="254"/>
      <c r="DM79" s="254"/>
      <c r="DN79" s="254"/>
      <c r="DO79" s="254"/>
      <c r="DP79" s="254"/>
    </row>
    <row r="80" spans="5:120" s="253" customFormat="1" ht="12" x14ac:dyDescent="0.2"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4"/>
      <c r="BW80" s="254"/>
      <c r="BX80" s="254"/>
      <c r="BY80" s="254"/>
      <c r="BZ80" s="254"/>
      <c r="CB80" s="254"/>
      <c r="CC80" s="254"/>
      <c r="CD80" s="254"/>
      <c r="CE80" s="254"/>
      <c r="CF80" s="254"/>
      <c r="CG80" s="254"/>
      <c r="CH80" s="254"/>
      <c r="CI80" s="254"/>
      <c r="CJ80" s="254"/>
      <c r="CK80" s="254"/>
      <c r="CL80" s="254"/>
      <c r="CM80" s="254"/>
      <c r="CN80" s="254"/>
      <c r="CO80" s="254"/>
      <c r="CP80" s="254"/>
      <c r="CQ80" s="254"/>
      <c r="CR80" s="254"/>
      <c r="CS80" s="254"/>
      <c r="CT80" s="254"/>
      <c r="CU80" s="254"/>
      <c r="CV80" s="254"/>
      <c r="CW80" s="254"/>
      <c r="CX80" s="254"/>
      <c r="CY80" s="254"/>
      <c r="CZ80" s="254"/>
      <c r="DA80" s="254"/>
      <c r="DB80" s="254"/>
      <c r="DC80" s="254"/>
      <c r="DD80" s="254"/>
      <c r="DE80" s="254"/>
      <c r="DF80" s="254"/>
      <c r="DG80" s="254"/>
      <c r="DH80" s="254"/>
      <c r="DI80" s="254"/>
      <c r="DJ80" s="254"/>
      <c r="DK80" s="254"/>
      <c r="DL80" s="254"/>
      <c r="DM80" s="254"/>
      <c r="DN80" s="254"/>
      <c r="DO80" s="254"/>
      <c r="DP80" s="254"/>
    </row>
    <row r="81" spans="2:215" s="253" customFormat="1" ht="12" x14ac:dyDescent="0.2"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4"/>
      <c r="BW81" s="254"/>
      <c r="BX81" s="254"/>
      <c r="BY81" s="254"/>
      <c r="BZ81" s="254"/>
      <c r="CB81" s="254"/>
      <c r="CC81" s="254"/>
      <c r="CD81" s="254"/>
      <c r="CE81" s="254"/>
      <c r="CF81" s="254"/>
      <c r="CG81" s="254"/>
      <c r="CH81" s="254"/>
      <c r="CI81" s="254"/>
      <c r="CJ81" s="254"/>
      <c r="CK81" s="254"/>
      <c r="CL81" s="254"/>
      <c r="CM81" s="254"/>
      <c r="CN81" s="254"/>
      <c r="CO81" s="254"/>
      <c r="CP81" s="254"/>
      <c r="CQ81" s="254"/>
      <c r="CR81" s="254"/>
      <c r="CS81" s="254"/>
      <c r="CT81" s="254"/>
      <c r="CU81" s="254"/>
      <c r="CV81" s="254"/>
      <c r="CW81" s="254"/>
      <c r="CX81" s="254"/>
      <c r="CY81" s="254"/>
      <c r="CZ81" s="254"/>
      <c r="DA81" s="254"/>
      <c r="DB81" s="254"/>
      <c r="DC81" s="254"/>
      <c r="DD81" s="254"/>
      <c r="DE81" s="254"/>
      <c r="DF81" s="254"/>
      <c r="DG81" s="254"/>
      <c r="DH81" s="254"/>
      <c r="DI81" s="254"/>
      <c r="DJ81" s="254"/>
      <c r="DK81" s="254"/>
      <c r="DL81" s="254"/>
      <c r="DM81" s="254"/>
      <c r="DN81" s="254"/>
      <c r="DO81" s="254"/>
      <c r="DP81" s="254"/>
    </row>
    <row r="82" spans="2:215" s="253" customFormat="1" ht="12" x14ac:dyDescent="0.2"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254"/>
      <c r="BR82" s="254"/>
      <c r="BS82" s="254"/>
      <c r="BT82" s="254"/>
      <c r="BU82" s="254"/>
      <c r="BV82" s="254"/>
      <c r="BW82" s="254"/>
      <c r="BX82" s="254"/>
      <c r="BY82" s="254"/>
      <c r="BZ82" s="254"/>
      <c r="CB82" s="254"/>
      <c r="CC82" s="254"/>
      <c r="CD82" s="254"/>
      <c r="CE82" s="254"/>
      <c r="CF82" s="254"/>
      <c r="CG82" s="254"/>
      <c r="CH82" s="254"/>
      <c r="CI82" s="254"/>
      <c r="CJ82" s="254"/>
      <c r="CK82" s="254"/>
      <c r="CL82" s="254"/>
      <c r="CM82" s="254"/>
      <c r="CN82" s="254"/>
      <c r="CO82" s="254"/>
      <c r="CP82" s="254"/>
      <c r="CQ82" s="254"/>
      <c r="CR82" s="254"/>
      <c r="CS82" s="254"/>
      <c r="CT82" s="254"/>
      <c r="CU82" s="254"/>
      <c r="CV82" s="254"/>
      <c r="CW82" s="254"/>
      <c r="CX82" s="254"/>
      <c r="CY82" s="254"/>
      <c r="CZ82" s="254"/>
      <c r="DA82" s="254"/>
      <c r="DB82" s="254"/>
      <c r="DC82" s="254"/>
      <c r="DD82" s="254"/>
      <c r="DE82" s="254"/>
      <c r="DF82" s="254"/>
      <c r="DG82" s="254"/>
      <c r="DH82" s="254"/>
      <c r="DI82" s="254"/>
      <c r="DJ82" s="254"/>
      <c r="DK82" s="254"/>
      <c r="DL82" s="254"/>
      <c r="DM82" s="254"/>
      <c r="DN82" s="254"/>
      <c r="DO82" s="254"/>
      <c r="DP82" s="254"/>
    </row>
    <row r="83" spans="2:215" s="253" customFormat="1" ht="12" x14ac:dyDescent="0.2"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254"/>
      <c r="BR83" s="254"/>
      <c r="BS83" s="254"/>
      <c r="BT83" s="254"/>
      <c r="BU83" s="254"/>
      <c r="BV83" s="254"/>
      <c r="BW83" s="254"/>
      <c r="BX83" s="254"/>
      <c r="BY83" s="254"/>
      <c r="BZ83" s="254"/>
      <c r="CB83" s="254"/>
      <c r="CC83" s="254"/>
      <c r="CD83" s="254"/>
      <c r="CE83" s="254"/>
      <c r="CF83" s="254"/>
      <c r="CG83" s="254"/>
      <c r="CH83" s="254"/>
      <c r="CI83" s="254"/>
      <c r="CJ83" s="254"/>
      <c r="CK83" s="254"/>
      <c r="CL83" s="254"/>
      <c r="CM83" s="254"/>
      <c r="CN83" s="254"/>
      <c r="CO83" s="254"/>
      <c r="CP83" s="254"/>
      <c r="CQ83" s="254"/>
      <c r="CR83" s="254"/>
      <c r="CS83" s="254"/>
      <c r="CT83" s="254"/>
      <c r="CU83" s="254"/>
      <c r="CV83" s="254"/>
      <c r="CW83" s="254"/>
      <c r="CX83" s="254"/>
      <c r="CY83" s="254"/>
      <c r="CZ83" s="254"/>
      <c r="DA83" s="254"/>
      <c r="DB83" s="254"/>
      <c r="DC83" s="254"/>
      <c r="DD83" s="254"/>
      <c r="DE83" s="254"/>
      <c r="DF83" s="254"/>
      <c r="DG83" s="254"/>
      <c r="DH83" s="254"/>
      <c r="DI83" s="254"/>
      <c r="DJ83" s="254"/>
      <c r="DK83" s="254"/>
      <c r="DL83" s="254"/>
      <c r="DM83" s="254"/>
      <c r="DN83" s="254"/>
      <c r="DO83" s="254"/>
      <c r="DP83" s="254"/>
    </row>
    <row r="84" spans="2:215" s="253" customFormat="1" ht="12" x14ac:dyDescent="0.2"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  <c r="AC84" s="254"/>
      <c r="AD84" s="254"/>
      <c r="AE84" s="254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  <c r="BR84" s="254"/>
      <c r="BS84" s="254"/>
      <c r="BT84" s="254"/>
      <c r="BU84" s="254"/>
      <c r="BV84" s="254"/>
      <c r="BW84" s="254"/>
      <c r="BX84" s="254"/>
      <c r="BY84" s="254"/>
      <c r="BZ84" s="254"/>
      <c r="CB84" s="254"/>
      <c r="CC84" s="254"/>
      <c r="CD84" s="254"/>
      <c r="CE84" s="254"/>
      <c r="CF84" s="254"/>
      <c r="CG84" s="254"/>
      <c r="CH84" s="254"/>
      <c r="CI84" s="254"/>
      <c r="CJ84" s="254"/>
      <c r="CK84" s="254"/>
      <c r="CL84" s="254"/>
      <c r="CM84" s="254"/>
      <c r="CN84" s="254"/>
      <c r="CO84" s="254"/>
      <c r="CP84" s="254"/>
      <c r="CQ84" s="254"/>
      <c r="CR84" s="254"/>
      <c r="CS84" s="254"/>
      <c r="CT84" s="254"/>
      <c r="CU84" s="254"/>
      <c r="CV84" s="254"/>
      <c r="CW84" s="254"/>
      <c r="CX84" s="254"/>
      <c r="CY84" s="254"/>
      <c r="CZ84" s="254"/>
      <c r="DA84" s="254"/>
      <c r="DB84" s="254"/>
      <c r="DC84" s="254"/>
      <c r="DD84" s="254"/>
      <c r="DE84" s="254"/>
      <c r="DF84" s="254"/>
      <c r="DG84" s="254"/>
      <c r="DH84" s="254"/>
      <c r="DI84" s="254"/>
      <c r="DJ84" s="254"/>
      <c r="DK84" s="254"/>
      <c r="DL84" s="254"/>
      <c r="DM84" s="254"/>
      <c r="DN84" s="254"/>
      <c r="DO84" s="254"/>
      <c r="DP84" s="254"/>
    </row>
    <row r="85" spans="2:215" s="273" customFormat="1" ht="12" x14ac:dyDescent="0.2">
      <c r="B85" s="253"/>
      <c r="C85" s="253"/>
      <c r="D85" s="253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  <c r="BR85" s="254"/>
      <c r="BS85" s="254"/>
      <c r="BT85" s="254"/>
      <c r="BU85" s="254"/>
      <c r="BV85" s="254"/>
      <c r="BW85" s="254"/>
      <c r="BX85" s="254"/>
      <c r="BY85" s="254"/>
      <c r="BZ85" s="254"/>
      <c r="CB85" s="254"/>
      <c r="CC85" s="254"/>
      <c r="CD85" s="254"/>
      <c r="CE85" s="254"/>
      <c r="CF85" s="254"/>
      <c r="CG85" s="254"/>
      <c r="CH85" s="254"/>
      <c r="CI85" s="254"/>
      <c r="CJ85" s="254"/>
      <c r="CK85" s="254"/>
      <c r="CL85" s="254"/>
      <c r="CM85" s="254"/>
      <c r="CN85" s="254"/>
      <c r="CO85" s="254"/>
      <c r="CP85" s="254"/>
      <c r="CQ85" s="254"/>
      <c r="CR85" s="254"/>
      <c r="CS85" s="254"/>
      <c r="CT85" s="254"/>
      <c r="CU85" s="254"/>
      <c r="CV85" s="254"/>
      <c r="CW85" s="254"/>
      <c r="CX85" s="254"/>
      <c r="CY85" s="254"/>
      <c r="CZ85" s="254"/>
      <c r="DA85" s="254"/>
      <c r="DB85" s="254"/>
      <c r="DC85" s="254"/>
      <c r="DD85" s="254"/>
      <c r="DE85" s="254"/>
      <c r="DF85" s="254"/>
      <c r="DG85" s="254"/>
      <c r="DH85" s="254"/>
      <c r="DI85" s="254"/>
      <c r="DJ85" s="254"/>
      <c r="DK85" s="254"/>
      <c r="DL85" s="254"/>
      <c r="DM85" s="254"/>
      <c r="DN85" s="254"/>
      <c r="DO85" s="254"/>
      <c r="DP85" s="254"/>
      <c r="HF85" s="253"/>
      <c r="HG85" s="253"/>
    </row>
    <row r="86" spans="2:215" s="273" customFormat="1" ht="12" x14ac:dyDescent="0.2">
      <c r="B86" s="253"/>
      <c r="C86" s="253"/>
      <c r="D86" s="253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254"/>
      <c r="AS86" s="254"/>
      <c r="AT86" s="25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4"/>
      <c r="BP86" s="254"/>
      <c r="BQ86" s="254"/>
      <c r="BR86" s="254"/>
      <c r="BS86" s="254"/>
      <c r="BT86" s="254"/>
      <c r="BU86" s="254"/>
      <c r="BV86" s="254"/>
      <c r="BW86" s="254"/>
      <c r="BX86" s="254"/>
      <c r="BY86" s="254"/>
      <c r="BZ86" s="254"/>
      <c r="CB86" s="254"/>
      <c r="CC86" s="254"/>
      <c r="CD86" s="254"/>
      <c r="CE86" s="254"/>
      <c r="CF86" s="254"/>
      <c r="CG86" s="254"/>
      <c r="CH86" s="254"/>
      <c r="CI86" s="254"/>
      <c r="CJ86" s="254"/>
      <c r="CK86" s="254"/>
      <c r="CL86" s="254"/>
      <c r="CM86" s="254"/>
      <c r="CN86" s="254"/>
      <c r="CO86" s="254"/>
      <c r="CP86" s="254"/>
      <c r="CQ86" s="254"/>
      <c r="CR86" s="254"/>
      <c r="CS86" s="254"/>
      <c r="CT86" s="254"/>
      <c r="CU86" s="254"/>
      <c r="CV86" s="254"/>
      <c r="CW86" s="254"/>
      <c r="CX86" s="254"/>
      <c r="CY86" s="254"/>
      <c r="CZ86" s="254"/>
      <c r="DA86" s="254"/>
      <c r="DB86" s="254"/>
      <c r="DC86" s="254"/>
      <c r="DD86" s="254"/>
      <c r="DE86" s="254"/>
      <c r="DF86" s="254"/>
      <c r="DG86" s="254"/>
      <c r="DH86" s="254"/>
      <c r="DI86" s="254"/>
      <c r="DJ86" s="254"/>
      <c r="DK86" s="254"/>
      <c r="DL86" s="254"/>
      <c r="DM86" s="254"/>
      <c r="DN86" s="254"/>
      <c r="DO86" s="254"/>
      <c r="DP86" s="254"/>
      <c r="HF86" s="253"/>
      <c r="HG86" s="253"/>
    </row>
    <row r="87" spans="2:215" s="273" customFormat="1" ht="12" x14ac:dyDescent="0.2">
      <c r="B87" s="253"/>
      <c r="C87" s="253"/>
      <c r="D87" s="253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4"/>
      <c r="BN87" s="254"/>
      <c r="BO87" s="254"/>
      <c r="BP87" s="254"/>
      <c r="BQ87" s="254"/>
      <c r="BR87" s="254"/>
      <c r="BS87" s="254"/>
      <c r="BT87" s="254"/>
      <c r="BU87" s="254"/>
      <c r="BV87" s="254"/>
      <c r="BW87" s="254"/>
      <c r="BX87" s="254"/>
      <c r="BY87" s="254"/>
      <c r="BZ87" s="254"/>
      <c r="CB87" s="254"/>
      <c r="CC87" s="254"/>
      <c r="CD87" s="254"/>
      <c r="CE87" s="254"/>
      <c r="CF87" s="254"/>
      <c r="CG87" s="254"/>
      <c r="CH87" s="254"/>
      <c r="CI87" s="254"/>
      <c r="CJ87" s="254"/>
      <c r="CK87" s="254"/>
      <c r="CL87" s="254"/>
      <c r="CM87" s="254"/>
      <c r="CN87" s="254"/>
      <c r="CO87" s="254"/>
      <c r="CP87" s="254"/>
      <c r="CQ87" s="254"/>
      <c r="CR87" s="254"/>
      <c r="CS87" s="254"/>
      <c r="CT87" s="254"/>
      <c r="CU87" s="254"/>
      <c r="CV87" s="254"/>
      <c r="CW87" s="254"/>
      <c r="CX87" s="254"/>
      <c r="CY87" s="254"/>
      <c r="CZ87" s="254"/>
      <c r="DA87" s="254"/>
      <c r="DB87" s="254"/>
      <c r="DC87" s="254"/>
      <c r="DD87" s="254"/>
      <c r="DE87" s="254"/>
      <c r="DF87" s="254"/>
      <c r="DG87" s="254"/>
      <c r="DH87" s="254"/>
      <c r="DI87" s="254"/>
      <c r="DJ87" s="254"/>
      <c r="DK87" s="254"/>
      <c r="DL87" s="254"/>
      <c r="DM87" s="254"/>
      <c r="DN87" s="254"/>
      <c r="DO87" s="254"/>
      <c r="DP87" s="254"/>
      <c r="HF87" s="253"/>
      <c r="HG87" s="253"/>
    </row>
    <row r="88" spans="2:215" s="273" customFormat="1" ht="12" x14ac:dyDescent="0.2">
      <c r="B88" s="253"/>
      <c r="C88" s="253"/>
      <c r="D88" s="253"/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  <c r="AP88" s="254"/>
      <c r="AQ88" s="254"/>
      <c r="AR88" s="254"/>
      <c r="AS88" s="254"/>
      <c r="AT88" s="254"/>
      <c r="AU88" s="254"/>
      <c r="AV88" s="254"/>
      <c r="AW88" s="254"/>
      <c r="AX88" s="254"/>
      <c r="AY88" s="254"/>
      <c r="AZ88" s="254"/>
      <c r="BA88" s="254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4"/>
      <c r="BO88" s="254"/>
      <c r="BP88" s="254"/>
      <c r="BQ88" s="254"/>
      <c r="BR88" s="254"/>
      <c r="BS88" s="254"/>
      <c r="BT88" s="254"/>
      <c r="BU88" s="254"/>
      <c r="BV88" s="254"/>
      <c r="BW88" s="254"/>
      <c r="BX88" s="254"/>
      <c r="BY88" s="254"/>
      <c r="BZ88" s="254"/>
      <c r="CB88" s="254"/>
      <c r="CC88" s="254"/>
      <c r="CD88" s="254"/>
      <c r="CE88" s="254"/>
      <c r="CF88" s="254"/>
      <c r="CG88" s="254"/>
      <c r="CH88" s="254"/>
      <c r="CI88" s="254"/>
      <c r="CJ88" s="254"/>
      <c r="CK88" s="254"/>
      <c r="CL88" s="254"/>
      <c r="CM88" s="254"/>
      <c r="CN88" s="254"/>
      <c r="CO88" s="254"/>
      <c r="CP88" s="254"/>
      <c r="CQ88" s="254"/>
      <c r="CR88" s="254"/>
      <c r="CS88" s="254"/>
      <c r="CT88" s="254"/>
      <c r="CU88" s="254"/>
      <c r="CV88" s="254"/>
      <c r="CW88" s="254"/>
      <c r="CX88" s="254"/>
      <c r="CY88" s="254"/>
      <c r="CZ88" s="254"/>
      <c r="DA88" s="254"/>
      <c r="DB88" s="254"/>
      <c r="DC88" s="254"/>
      <c r="DD88" s="254"/>
      <c r="DE88" s="254"/>
      <c r="DF88" s="254"/>
      <c r="DG88" s="254"/>
      <c r="DH88" s="254"/>
      <c r="DI88" s="254"/>
      <c r="DJ88" s="254"/>
      <c r="DK88" s="254"/>
      <c r="DL88" s="254"/>
      <c r="DM88" s="254"/>
      <c r="DN88" s="254"/>
      <c r="DO88" s="254"/>
      <c r="DP88" s="254"/>
      <c r="HF88" s="253"/>
      <c r="HG88" s="253"/>
    </row>
    <row r="89" spans="2:215" s="273" customFormat="1" ht="12" x14ac:dyDescent="0.2">
      <c r="B89" s="253"/>
      <c r="C89" s="253"/>
      <c r="D89" s="253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4"/>
      <c r="AR89" s="254"/>
      <c r="AS89" s="254"/>
      <c r="AT89" s="254"/>
      <c r="AU89" s="254"/>
      <c r="AV89" s="254"/>
      <c r="AW89" s="254"/>
      <c r="AX89" s="254"/>
      <c r="AY89" s="254"/>
      <c r="AZ89" s="254"/>
      <c r="BA89" s="254"/>
      <c r="BB89" s="254"/>
      <c r="BC89" s="254"/>
      <c r="BD89" s="254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  <c r="BO89" s="254"/>
      <c r="BP89" s="254"/>
      <c r="BQ89" s="254"/>
      <c r="BR89" s="254"/>
      <c r="BS89" s="254"/>
      <c r="BT89" s="254"/>
      <c r="BU89" s="254"/>
      <c r="BV89" s="254"/>
      <c r="BW89" s="254"/>
      <c r="BX89" s="254"/>
      <c r="BY89" s="254"/>
      <c r="BZ89" s="254"/>
      <c r="CB89" s="254"/>
      <c r="CC89" s="254"/>
      <c r="CD89" s="254"/>
      <c r="CE89" s="254"/>
      <c r="CF89" s="254"/>
      <c r="CG89" s="254"/>
      <c r="CH89" s="254"/>
      <c r="CI89" s="254"/>
      <c r="CJ89" s="254"/>
      <c r="CK89" s="254"/>
      <c r="CL89" s="254"/>
      <c r="CM89" s="254"/>
      <c r="CN89" s="254"/>
      <c r="CO89" s="254"/>
      <c r="CP89" s="254"/>
      <c r="CQ89" s="254"/>
      <c r="CR89" s="254"/>
      <c r="CS89" s="254"/>
      <c r="CT89" s="254"/>
      <c r="CU89" s="254"/>
      <c r="CV89" s="254"/>
      <c r="CW89" s="254"/>
      <c r="CX89" s="254"/>
      <c r="CY89" s="254"/>
      <c r="CZ89" s="254"/>
      <c r="DA89" s="254"/>
      <c r="DB89" s="254"/>
      <c r="DC89" s="254"/>
      <c r="DD89" s="254"/>
      <c r="DE89" s="254"/>
      <c r="DF89" s="254"/>
      <c r="DG89" s="254"/>
      <c r="DH89" s="254"/>
      <c r="DI89" s="254"/>
      <c r="DJ89" s="254"/>
      <c r="DK89" s="254"/>
      <c r="DL89" s="254"/>
      <c r="DM89" s="254"/>
      <c r="DN89" s="254"/>
      <c r="DO89" s="254"/>
      <c r="DP89" s="254"/>
      <c r="HF89" s="253"/>
      <c r="HG89" s="253"/>
    </row>
    <row r="90" spans="2:215" x14ac:dyDescent="0.2"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/>
      <c r="AZ90" s="273"/>
      <c r="BA90" s="273"/>
      <c r="BB90" s="273"/>
      <c r="BC90" s="273"/>
      <c r="BD90" s="273"/>
      <c r="BE90" s="273"/>
      <c r="BF90" s="273"/>
      <c r="BG90" s="273"/>
      <c r="BH90" s="273"/>
      <c r="BI90" s="273"/>
      <c r="BJ90" s="273"/>
      <c r="BK90" s="273"/>
      <c r="BL90" s="273"/>
      <c r="BM90" s="273"/>
      <c r="BN90" s="273"/>
      <c r="BO90" s="273"/>
      <c r="BP90" s="273"/>
      <c r="BQ90" s="273"/>
      <c r="BR90" s="273"/>
      <c r="BS90" s="273"/>
      <c r="BT90" s="273"/>
      <c r="BU90" s="273"/>
      <c r="BV90" s="273"/>
      <c r="BW90" s="273"/>
      <c r="BX90" s="273"/>
      <c r="BY90" s="273"/>
      <c r="BZ90" s="273"/>
      <c r="CB90" s="253"/>
      <c r="CC90" s="253"/>
      <c r="CD90" s="253"/>
      <c r="CE90" s="253"/>
      <c r="CF90" s="253"/>
      <c r="CG90" s="253"/>
      <c r="CH90" s="253"/>
      <c r="CI90" s="253"/>
      <c r="CJ90" s="253"/>
      <c r="CK90" s="253"/>
      <c r="CL90" s="253"/>
      <c r="CM90" s="253"/>
      <c r="CN90" s="253"/>
      <c r="CO90" s="253"/>
      <c r="CP90" s="253"/>
      <c r="CQ90" s="253"/>
      <c r="CR90" s="253"/>
      <c r="CS90" s="253"/>
      <c r="CT90" s="253"/>
      <c r="CU90" s="253"/>
      <c r="CV90" s="253"/>
      <c r="CW90" s="253"/>
      <c r="CX90" s="253"/>
      <c r="CY90" s="253"/>
      <c r="CZ90" s="253"/>
      <c r="DA90" s="253"/>
      <c r="DB90" s="253"/>
      <c r="DC90" s="253"/>
      <c r="DD90" s="253"/>
      <c r="DE90" s="253"/>
      <c r="DF90" s="253"/>
      <c r="DG90" s="253"/>
      <c r="DH90" s="253"/>
      <c r="DI90" s="253"/>
      <c r="DJ90" s="253"/>
      <c r="DK90" s="253"/>
      <c r="DL90" s="253"/>
      <c r="DM90" s="253"/>
      <c r="DN90" s="253"/>
      <c r="DO90" s="253"/>
      <c r="HF90" s="273"/>
      <c r="HG90" s="273"/>
    </row>
    <row r="91" spans="2:215" x14ac:dyDescent="0.2"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73"/>
      <c r="AY91" s="273"/>
      <c r="AZ91" s="273"/>
      <c r="BA91" s="273"/>
      <c r="BB91" s="273"/>
      <c r="BC91" s="273"/>
      <c r="BD91" s="273"/>
      <c r="BE91" s="273"/>
      <c r="BF91" s="273"/>
      <c r="BG91" s="273"/>
      <c r="BH91" s="273"/>
      <c r="BI91" s="273"/>
      <c r="BJ91" s="273"/>
      <c r="BK91" s="273"/>
      <c r="BL91" s="273"/>
      <c r="BM91" s="273"/>
      <c r="BN91" s="273"/>
      <c r="BO91" s="273"/>
      <c r="BP91" s="273"/>
      <c r="BQ91" s="273"/>
      <c r="BR91" s="273"/>
      <c r="BS91" s="273"/>
      <c r="BT91" s="273"/>
      <c r="BU91" s="273"/>
      <c r="BV91" s="273"/>
      <c r="BW91" s="273"/>
      <c r="BX91" s="273"/>
      <c r="BY91" s="273"/>
      <c r="BZ91" s="273"/>
      <c r="CB91" s="273"/>
      <c r="CC91" s="273"/>
      <c r="CD91" s="273"/>
      <c r="CE91" s="273"/>
      <c r="CF91" s="273"/>
      <c r="CG91" s="273"/>
      <c r="CH91" s="273"/>
      <c r="CI91" s="273"/>
      <c r="CJ91" s="273"/>
      <c r="CK91" s="273"/>
      <c r="CL91" s="273"/>
      <c r="CM91" s="273"/>
      <c r="CN91" s="273"/>
      <c r="CO91" s="273"/>
      <c r="CP91" s="273"/>
      <c r="CQ91" s="273"/>
      <c r="CR91" s="273"/>
      <c r="CS91" s="273"/>
      <c r="CT91" s="273"/>
      <c r="CU91" s="273"/>
      <c r="CV91" s="273"/>
      <c r="CW91" s="273"/>
      <c r="CX91" s="273"/>
      <c r="CY91" s="273"/>
      <c r="CZ91" s="273"/>
      <c r="DA91" s="273"/>
      <c r="DB91" s="273"/>
      <c r="DC91" s="273"/>
      <c r="DD91" s="273"/>
      <c r="DE91" s="273"/>
      <c r="DF91" s="273"/>
      <c r="DG91" s="273"/>
      <c r="DH91" s="273"/>
      <c r="DI91" s="273"/>
      <c r="DJ91" s="273"/>
      <c r="DK91" s="273"/>
      <c r="DL91" s="273"/>
      <c r="DM91" s="273"/>
      <c r="DN91" s="273"/>
      <c r="DO91" s="273"/>
      <c r="HF91" s="273"/>
      <c r="HG91" s="273"/>
    </row>
    <row r="92" spans="2:215" x14ac:dyDescent="0.2"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73"/>
      <c r="AY92" s="273"/>
      <c r="AZ92" s="273"/>
      <c r="BA92" s="273"/>
      <c r="BB92" s="273"/>
      <c r="BC92" s="273"/>
      <c r="BD92" s="273"/>
      <c r="BE92" s="273"/>
      <c r="BF92" s="273"/>
      <c r="BG92" s="273"/>
      <c r="BH92" s="273"/>
      <c r="BI92" s="273"/>
      <c r="BJ92" s="273"/>
      <c r="BK92" s="273"/>
      <c r="BL92" s="273"/>
      <c r="BM92" s="273"/>
      <c r="BN92" s="273"/>
      <c r="BO92" s="273"/>
      <c r="BP92" s="273"/>
      <c r="BQ92" s="273"/>
      <c r="BR92" s="273"/>
      <c r="BS92" s="273"/>
      <c r="BT92" s="273"/>
      <c r="BU92" s="273"/>
      <c r="BV92" s="273"/>
      <c r="BW92" s="273"/>
      <c r="BX92" s="273"/>
      <c r="BY92" s="273"/>
      <c r="BZ92" s="273"/>
      <c r="CB92" s="273"/>
      <c r="CC92" s="273"/>
      <c r="CD92" s="273"/>
      <c r="CE92" s="273"/>
      <c r="CF92" s="273"/>
      <c r="CG92" s="273"/>
      <c r="CH92" s="273"/>
      <c r="CI92" s="273"/>
      <c r="CJ92" s="273"/>
      <c r="CK92" s="273"/>
      <c r="CL92" s="273"/>
      <c r="CM92" s="273"/>
      <c r="CN92" s="273"/>
      <c r="CO92" s="273"/>
      <c r="CP92" s="273"/>
      <c r="CQ92" s="273"/>
      <c r="CR92" s="273"/>
      <c r="CS92" s="273"/>
      <c r="CT92" s="273"/>
      <c r="CU92" s="273"/>
      <c r="CV92" s="273"/>
      <c r="CW92" s="273"/>
      <c r="CX92" s="273"/>
      <c r="CY92" s="273"/>
      <c r="CZ92" s="273"/>
      <c r="DA92" s="273"/>
      <c r="DB92" s="273"/>
      <c r="DC92" s="273"/>
      <c r="DD92" s="273"/>
      <c r="DE92" s="273"/>
      <c r="DF92" s="273"/>
      <c r="DG92" s="273"/>
      <c r="DH92" s="273"/>
      <c r="DI92" s="273"/>
      <c r="DJ92" s="273"/>
      <c r="DK92" s="273"/>
      <c r="DL92" s="273"/>
      <c r="DM92" s="273"/>
      <c r="DN92" s="273"/>
      <c r="DO92" s="273"/>
      <c r="HF92" s="273"/>
      <c r="HG92" s="273"/>
    </row>
    <row r="93" spans="2:215" x14ac:dyDescent="0.2">
      <c r="B93" s="273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73"/>
      <c r="AY93" s="273"/>
      <c r="AZ93" s="273"/>
      <c r="BA93" s="273"/>
      <c r="BB93" s="273"/>
      <c r="BC93" s="273"/>
      <c r="BD93" s="273"/>
      <c r="BE93" s="273"/>
      <c r="BF93" s="273"/>
      <c r="BG93" s="273"/>
      <c r="BH93" s="273"/>
      <c r="BI93" s="273"/>
      <c r="BJ93" s="273"/>
      <c r="BK93" s="273"/>
      <c r="BL93" s="273"/>
      <c r="BM93" s="273"/>
      <c r="BN93" s="273"/>
      <c r="BO93" s="273"/>
      <c r="BP93" s="273"/>
      <c r="BQ93" s="273"/>
      <c r="BR93" s="273"/>
      <c r="BS93" s="273"/>
      <c r="BT93" s="273"/>
      <c r="BU93" s="273"/>
      <c r="BV93" s="273"/>
      <c r="BW93" s="273"/>
      <c r="BX93" s="273"/>
      <c r="BY93" s="273"/>
      <c r="BZ93" s="273"/>
      <c r="CB93" s="273"/>
      <c r="CC93" s="273"/>
      <c r="CD93" s="273"/>
      <c r="CE93" s="273"/>
      <c r="CF93" s="273"/>
      <c r="CG93" s="273"/>
      <c r="CH93" s="273"/>
      <c r="CI93" s="273"/>
      <c r="CJ93" s="273"/>
      <c r="CK93" s="273"/>
      <c r="CL93" s="273"/>
      <c r="CM93" s="273"/>
      <c r="CN93" s="273"/>
      <c r="CO93" s="273"/>
      <c r="CP93" s="273"/>
      <c r="CQ93" s="273"/>
      <c r="CR93" s="273"/>
      <c r="CS93" s="273"/>
      <c r="CT93" s="273"/>
      <c r="CU93" s="273"/>
      <c r="CV93" s="273"/>
      <c r="CW93" s="273"/>
      <c r="CX93" s="273"/>
      <c r="CY93" s="273"/>
      <c r="CZ93" s="273"/>
      <c r="DA93" s="273"/>
      <c r="DB93" s="273"/>
      <c r="DC93" s="273"/>
      <c r="DD93" s="273"/>
      <c r="DE93" s="273"/>
      <c r="DF93" s="273"/>
      <c r="DG93" s="273"/>
      <c r="DH93" s="273"/>
      <c r="DI93" s="273"/>
      <c r="DJ93" s="273"/>
      <c r="DK93" s="273"/>
      <c r="DL93" s="273"/>
      <c r="DM93" s="273"/>
      <c r="DN93" s="273"/>
      <c r="DO93" s="273"/>
      <c r="HF93" s="273"/>
      <c r="HG93" s="273"/>
    </row>
    <row r="94" spans="2:215" x14ac:dyDescent="0.2"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273"/>
      <c r="X94" s="273"/>
      <c r="Y94" s="273"/>
      <c r="Z94" s="273"/>
      <c r="AA94" s="273"/>
      <c r="AB94" s="273"/>
      <c r="AC94" s="273"/>
      <c r="AD94" s="273"/>
      <c r="AE94" s="273"/>
      <c r="AF94" s="273"/>
      <c r="AG94" s="273"/>
      <c r="AH94" s="273"/>
      <c r="AI94" s="273"/>
      <c r="AJ94" s="273"/>
      <c r="AK94" s="273"/>
      <c r="AL94" s="273"/>
      <c r="AM94" s="273"/>
      <c r="AN94" s="273"/>
      <c r="AO94" s="273"/>
      <c r="AP94" s="273"/>
      <c r="AQ94" s="273"/>
      <c r="AR94" s="273"/>
      <c r="AS94" s="273"/>
      <c r="AT94" s="273"/>
      <c r="AU94" s="273"/>
      <c r="AV94" s="273"/>
      <c r="AW94" s="273"/>
      <c r="AX94" s="273"/>
      <c r="AY94" s="273"/>
      <c r="AZ94" s="273"/>
      <c r="BA94" s="273"/>
      <c r="BB94" s="273"/>
      <c r="BC94" s="273"/>
      <c r="BD94" s="273"/>
      <c r="BE94" s="273"/>
      <c r="BF94" s="273"/>
      <c r="BG94" s="273"/>
      <c r="BH94" s="273"/>
      <c r="BI94" s="273"/>
      <c r="BJ94" s="273"/>
      <c r="BK94" s="273"/>
      <c r="BL94" s="273"/>
      <c r="BM94" s="273"/>
      <c r="BN94" s="273"/>
      <c r="BO94" s="273"/>
      <c r="BP94" s="273"/>
      <c r="BQ94" s="273"/>
      <c r="BR94" s="273"/>
      <c r="BS94" s="273"/>
      <c r="BT94" s="273"/>
      <c r="BU94" s="273"/>
      <c r="BV94" s="273"/>
      <c r="BW94" s="273"/>
      <c r="BX94" s="273"/>
      <c r="BY94" s="273"/>
      <c r="BZ94" s="273"/>
      <c r="CB94" s="273"/>
      <c r="CC94" s="273"/>
      <c r="CD94" s="273"/>
      <c r="CE94" s="273"/>
      <c r="CF94" s="273"/>
      <c r="CG94" s="273"/>
      <c r="CH94" s="273"/>
      <c r="CI94" s="273"/>
      <c r="CJ94" s="273"/>
      <c r="CK94" s="273"/>
      <c r="CL94" s="273"/>
      <c r="CM94" s="273"/>
      <c r="CN94" s="273"/>
      <c r="CO94" s="273"/>
      <c r="CP94" s="273"/>
      <c r="CQ94" s="273"/>
      <c r="CR94" s="273"/>
      <c r="CS94" s="273"/>
      <c r="CT94" s="273"/>
      <c r="CU94" s="273"/>
      <c r="CV94" s="273"/>
      <c r="CW94" s="273"/>
      <c r="CX94" s="273"/>
      <c r="CY94" s="273"/>
      <c r="CZ94" s="273"/>
      <c r="DA94" s="273"/>
      <c r="DB94" s="273"/>
      <c r="DC94" s="273"/>
      <c r="DD94" s="273"/>
      <c r="DE94" s="273"/>
      <c r="DF94" s="273"/>
      <c r="DG94" s="273"/>
      <c r="DH94" s="273"/>
      <c r="DI94" s="273"/>
      <c r="DJ94" s="273"/>
      <c r="DK94" s="273"/>
      <c r="DL94" s="273"/>
      <c r="DM94" s="273"/>
      <c r="DN94" s="273"/>
      <c r="DO94" s="273"/>
      <c r="HF94" s="273"/>
      <c r="HG94" s="273"/>
    </row>
    <row r="95" spans="2:215" x14ac:dyDescent="0.2">
      <c r="CB95" s="273"/>
      <c r="CC95" s="273"/>
      <c r="CD95" s="273"/>
      <c r="CE95" s="273"/>
      <c r="CF95" s="273"/>
      <c r="CG95" s="273"/>
      <c r="CH95" s="273"/>
      <c r="CI95" s="273"/>
      <c r="CJ95" s="273"/>
      <c r="CK95" s="273"/>
      <c r="CL95" s="273"/>
      <c r="CM95" s="273"/>
      <c r="CN95" s="273"/>
      <c r="CO95" s="273"/>
      <c r="CP95" s="273"/>
      <c r="CQ95" s="273"/>
      <c r="CR95" s="273"/>
      <c r="CS95" s="273"/>
      <c r="CT95" s="273"/>
      <c r="CU95" s="273"/>
      <c r="CV95" s="273"/>
      <c r="CW95" s="273"/>
      <c r="CX95" s="273"/>
      <c r="CY95" s="273"/>
      <c r="CZ95" s="273"/>
      <c r="DA95" s="273"/>
      <c r="DB95" s="273"/>
      <c r="DC95" s="273"/>
      <c r="DD95" s="273"/>
      <c r="DE95" s="273"/>
      <c r="DF95" s="273"/>
      <c r="DG95" s="273"/>
      <c r="DH95" s="273"/>
      <c r="DI95" s="273"/>
      <c r="DJ95" s="273"/>
      <c r="DK95" s="273"/>
      <c r="DL95" s="273"/>
      <c r="DM95" s="273"/>
      <c r="DN95" s="273"/>
      <c r="DO95" s="273"/>
    </row>
  </sheetData>
  <autoFilter ref="B5:C13" xr:uid="{00000000-0001-0000-1800-000000000000}"/>
  <mergeCells count="16">
    <mergeCell ref="S4:AE4"/>
    <mergeCell ref="DC2:DO2"/>
    <mergeCell ref="E4:Q4"/>
    <mergeCell ref="AL4:AX4"/>
    <mergeCell ref="AZ4:BL4"/>
    <mergeCell ref="BN4:BZ4"/>
    <mergeCell ref="CB4:CN4"/>
    <mergeCell ref="CP4:DB4"/>
    <mergeCell ref="DC4:DO4"/>
    <mergeCell ref="E2:Q2"/>
    <mergeCell ref="AL2:AX2"/>
    <mergeCell ref="AZ2:BL2"/>
    <mergeCell ref="BN2:BZ2"/>
    <mergeCell ref="CB2:CN2"/>
    <mergeCell ref="CP2:DB2"/>
    <mergeCell ref="S2:AE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AA9B-F34B-4DBA-973C-C006EC2B6046}">
  <sheetPr codeName="Hoja27">
    <tabColor theme="5" tint="0.39997558519241921"/>
  </sheetPr>
  <dimension ref="A1:JZ87"/>
  <sheetViews>
    <sheetView zoomScale="130" zoomScaleNormal="130" workbookViewId="0">
      <pane xSplit="4" ySplit="5" topLeftCell="DB6" activePane="bottomRight" state="frozen"/>
      <selection activeCell="M17" sqref="M17"/>
      <selection pane="topRight" activeCell="M17" sqref="M17"/>
      <selection pane="bottomLeft" activeCell="M17" sqref="M17"/>
      <selection pane="bottomRight" activeCell="DS18" sqref="DS18"/>
    </sheetView>
  </sheetViews>
  <sheetFormatPr baseColWidth="10" defaultColWidth="0" defaultRowHeight="12.75" x14ac:dyDescent="0.2"/>
  <cols>
    <col min="1" max="1" width="2" style="246" customWidth="1"/>
    <col min="2" max="2" width="7.140625" style="246" customWidth="1"/>
    <col min="3" max="3" width="29.28515625" style="246" customWidth="1"/>
    <col min="4" max="4" width="1.28515625" style="246" bestFit="1" customWidth="1"/>
    <col min="5" max="5" width="6.140625" style="247" customWidth="1"/>
    <col min="6" max="7" width="6.140625" style="247" bestFit="1" customWidth="1"/>
    <col min="8" max="9" width="6.7109375" style="247" customWidth="1"/>
    <col min="10" max="10" width="6.42578125" style="247" customWidth="1"/>
    <col min="11" max="11" width="5.5703125" style="247" bestFit="1" customWidth="1"/>
    <col min="12" max="12" width="6.85546875" style="247" customWidth="1"/>
    <col min="13" max="13" width="7.85546875" style="247" bestFit="1" customWidth="1"/>
    <col min="14" max="14" width="6.85546875" style="247" customWidth="1"/>
    <col min="15" max="15" width="5.85546875" style="247" customWidth="1"/>
    <col min="16" max="16" width="5" style="247" customWidth="1"/>
    <col min="17" max="17" width="8.28515625" style="247" customWidth="1"/>
    <col min="18" max="18" width="2.28515625" style="247" customWidth="1"/>
    <col min="19" max="25" width="6.140625" style="247" bestFit="1" customWidth="1"/>
    <col min="26" max="28" width="5.7109375" style="247" bestFit="1" customWidth="1"/>
    <col min="29" max="29" width="4.7109375" style="247" bestFit="1" customWidth="1"/>
    <col min="30" max="30" width="5.7109375" style="247" customWidth="1"/>
    <col min="31" max="31" width="8.42578125" style="247" customWidth="1"/>
    <col min="32" max="32" width="2" style="247" bestFit="1" customWidth="1"/>
    <col min="33" max="33" width="5.5703125" style="247" customWidth="1"/>
    <col min="34" max="36" width="5.140625" style="247" bestFit="1" customWidth="1"/>
    <col min="37" max="39" width="4.42578125" style="247" customWidth="1"/>
    <col min="40" max="41" width="4.7109375" style="247" bestFit="1" customWidth="1"/>
    <col min="42" max="43" width="4.42578125" style="247" customWidth="1"/>
    <col min="44" max="44" width="4.7109375" style="247" bestFit="1" customWidth="1"/>
    <col min="45" max="45" width="6.140625" style="247" bestFit="1" customWidth="1"/>
    <col min="46" max="46" width="2" style="247" bestFit="1" customWidth="1"/>
    <col min="47" max="53" width="5.140625" style="247" hidden="1" customWidth="1"/>
    <col min="54" max="58" width="4.85546875" style="247" hidden="1" customWidth="1"/>
    <col min="59" max="59" width="6.140625" style="247" hidden="1" customWidth="1"/>
    <col min="60" max="60" width="4.7109375" style="247" customWidth="1"/>
    <col min="61" max="67" width="5.140625" style="247" hidden="1" customWidth="1"/>
    <col min="68" max="72" width="4.85546875" style="247" hidden="1" customWidth="1"/>
    <col min="73" max="73" width="6.140625" style="247" hidden="1" customWidth="1"/>
    <col min="74" max="74" width="4.7109375" style="247" customWidth="1"/>
    <col min="75" max="75" width="5" style="247" bestFit="1" customWidth="1"/>
    <col min="76" max="76" width="4" style="247" bestFit="1" customWidth="1"/>
    <col min="77" max="83" width="5" style="247" bestFit="1" customWidth="1"/>
    <col min="84" max="84" width="3.42578125" style="247" bestFit="1" customWidth="1"/>
    <col min="85" max="85" width="3.85546875" style="247" bestFit="1" customWidth="1"/>
    <col min="86" max="86" width="3.42578125" style="247" bestFit="1" customWidth="1"/>
    <col min="87" max="87" width="6" style="247" bestFit="1" customWidth="1"/>
    <col min="88" max="88" width="1.28515625" style="247" customWidth="1"/>
    <col min="89" max="101" width="5.85546875" style="247" customWidth="1"/>
    <col min="102" max="102" width="1" style="247" customWidth="1"/>
    <col min="103" max="103" width="6.140625" style="247" customWidth="1"/>
    <col min="104" max="110" width="5.7109375" style="247" customWidth="1"/>
    <col min="111" max="111" width="6.5703125" style="247" customWidth="1"/>
    <col min="112" max="114" width="5.7109375" style="247" customWidth="1"/>
    <col min="115" max="115" width="7.140625" style="249" bestFit="1" customWidth="1"/>
    <col min="116" max="116" width="1.140625" style="246" customWidth="1"/>
    <col min="117" max="117" width="6.5703125" style="247" customWidth="1"/>
    <col min="118" max="123" width="5.140625" style="247" bestFit="1" customWidth="1"/>
    <col min="124" max="124" width="5.7109375" style="247" bestFit="1" customWidth="1"/>
    <col min="125" max="125" width="4.85546875" style="247" bestFit="1" customWidth="1"/>
    <col min="126" max="126" width="5.7109375" style="247" bestFit="1" customWidth="1"/>
    <col min="127" max="128" width="4.85546875" style="247" bestFit="1" customWidth="1"/>
    <col min="129" max="129" width="7.28515625" style="249" bestFit="1" customWidth="1"/>
    <col min="130" max="130" width="1.5703125" style="248" customWidth="1"/>
    <col min="131" max="214" width="11.42578125" customWidth="1"/>
    <col min="215" max="219" width="1.28515625" style="247" hidden="1" customWidth="1"/>
    <col min="220" max="248" width="0" style="247" hidden="1" customWidth="1"/>
    <col min="249" max="253" width="1.28515625" style="247" hidden="1" customWidth="1"/>
    <col min="254" max="264" width="0" style="247" hidden="1" customWidth="1"/>
    <col min="265" max="269" width="1.28515625" style="247" hidden="1" customWidth="1"/>
    <col min="270" max="286" width="0" style="247" hidden="1" customWidth="1"/>
    <col min="287" max="16384" width="1.28515625" style="247" hidden="1"/>
  </cols>
  <sheetData>
    <row r="1" spans="2:215" ht="15.75" customHeight="1" x14ac:dyDescent="0.2"/>
    <row r="2" spans="2:215" ht="84.75" customHeight="1" x14ac:dyDescent="0.3">
      <c r="C2" s="250" t="str">
        <f>+NOMBRE!B7</f>
        <v>ENERO - OCTUBRE 2024</v>
      </c>
      <c r="E2" s="1030" t="s">
        <v>442</v>
      </c>
      <c r="F2" s="1031"/>
      <c r="G2" s="1031"/>
      <c r="H2" s="1031"/>
      <c r="I2" s="1031"/>
      <c r="J2" s="1031"/>
      <c r="K2" s="1031"/>
      <c r="L2" s="1031"/>
      <c r="M2" s="1031"/>
      <c r="N2" s="1031"/>
      <c r="O2" s="1031"/>
      <c r="P2" s="1031"/>
      <c r="Q2" s="1032"/>
      <c r="R2" s="251"/>
      <c r="S2" s="1030" t="s">
        <v>204</v>
      </c>
      <c r="T2" s="1031"/>
      <c r="U2" s="1031"/>
      <c r="V2" s="1031"/>
      <c r="W2" s="1031"/>
      <c r="X2" s="1031"/>
      <c r="Y2" s="1031"/>
      <c r="Z2" s="1031"/>
      <c r="AA2" s="1031"/>
      <c r="AB2" s="1031"/>
      <c r="AC2" s="1031"/>
      <c r="AD2" s="1031"/>
      <c r="AE2" s="1032"/>
      <c r="AF2" s="251"/>
      <c r="AG2" s="1030" t="s">
        <v>526</v>
      </c>
      <c r="AH2" s="1031"/>
      <c r="AI2" s="1031"/>
      <c r="AJ2" s="1031"/>
      <c r="AK2" s="1031"/>
      <c r="AL2" s="1031"/>
      <c r="AM2" s="1031"/>
      <c r="AN2" s="1031"/>
      <c r="AO2" s="1031"/>
      <c r="AP2" s="1031"/>
      <c r="AQ2" s="1031"/>
      <c r="AR2" s="1031"/>
      <c r="AS2" s="1032"/>
      <c r="AT2" s="251"/>
      <c r="AU2" s="1030" t="s">
        <v>205</v>
      </c>
      <c r="AV2" s="1031"/>
      <c r="AW2" s="1031"/>
      <c r="AX2" s="1031"/>
      <c r="AY2" s="1031"/>
      <c r="AZ2" s="1031"/>
      <c r="BA2" s="1031"/>
      <c r="BB2" s="1031"/>
      <c r="BC2" s="1031"/>
      <c r="BD2" s="1031"/>
      <c r="BE2" s="1031"/>
      <c r="BF2" s="1031"/>
      <c r="BG2" s="1032"/>
      <c r="BH2" s="251"/>
      <c r="BI2" s="1030" t="s">
        <v>206</v>
      </c>
      <c r="BJ2" s="1031"/>
      <c r="BK2" s="1031"/>
      <c r="BL2" s="1031"/>
      <c r="BM2" s="1031"/>
      <c r="BN2" s="1031"/>
      <c r="BO2" s="1031"/>
      <c r="BP2" s="1031"/>
      <c r="BQ2" s="1031"/>
      <c r="BR2" s="1031"/>
      <c r="BS2" s="1031"/>
      <c r="BT2" s="1031"/>
      <c r="BU2" s="1032"/>
      <c r="BV2" s="251"/>
      <c r="BW2" s="1030" t="s">
        <v>207</v>
      </c>
      <c r="BX2" s="1031"/>
      <c r="BY2" s="1031"/>
      <c r="BZ2" s="1031"/>
      <c r="CA2" s="1031"/>
      <c r="CB2" s="1031"/>
      <c r="CC2" s="1031"/>
      <c r="CD2" s="1031"/>
      <c r="CE2" s="1031"/>
      <c r="CF2" s="1031"/>
      <c r="CG2" s="1031"/>
      <c r="CH2" s="1031"/>
      <c r="CI2" s="1032"/>
      <c r="CJ2" s="274"/>
      <c r="CK2" s="1030" t="s">
        <v>208</v>
      </c>
      <c r="CL2" s="1031"/>
      <c r="CM2" s="1031"/>
      <c r="CN2" s="1031"/>
      <c r="CO2" s="1031"/>
      <c r="CP2" s="1031"/>
      <c r="CQ2" s="1031"/>
      <c r="CR2" s="1031"/>
      <c r="CS2" s="1031"/>
      <c r="CT2" s="1031"/>
      <c r="CU2" s="1031"/>
      <c r="CV2" s="1031"/>
      <c r="CW2" s="1032"/>
      <c r="CX2" s="251"/>
      <c r="CY2" s="1030" t="s">
        <v>209</v>
      </c>
      <c r="CZ2" s="1031"/>
      <c r="DA2" s="1031"/>
      <c r="DB2" s="1031"/>
      <c r="DC2" s="1031"/>
      <c r="DD2" s="1031"/>
      <c r="DE2" s="1031"/>
      <c r="DF2" s="1031"/>
      <c r="DG2" s="1031"/>
      <c r="DH2" s="1031"/>
      <c r="DI2" s="1031"/>
      <c r="DJ2" s="1031"/>
      <c r="DK2" s="1032"/>
      <c r="DL2" s="251"/>
      <c r="DM2" s="1033" t="s">
        <v>525</v>
      </c>
      <c r="DN2" s="1034"/>
      <c r="DO2" s="1034"/>
      <c r="DP2" s="1034"/>
      <c r="DQ2" s="1034"/>
      <c r="DR2" s="1034"/>
      <c r="DS2" s="1034"/>
      <c r="DT2" s="1034"/>
      <c r="DU2" s="1034"/>
      <c r="DV2" s="1034"/>
      <c r="DW2" s="1034"/>
      <c r="DX2" s="1034"/>
      <c r="DY2" s="1035"/>
      <c r="DZ2" s="252"/>
      <c r="HG2" s="252"/>
    </row>
    <row r="3" spans="2:215" ht="6.75" customHeight="1" x14ac:dyDescent="0.2"/>
    <row r="4" spans="2:215" s="253" customFormat="1" ht="12" x14ac:dyDescent="0.2">
      <c r="E4" s="1029" t="s">
        <v>188</v>
      </c>
      <c r="F4" s="1029"/>
      <c r="G4" s="1029"/>
      <c r="H4" s="1029"/>
      <c r="I4" s="1029"/>
      <c r="J4" s="1029"/>
      <c r="K4" s="1029"/>
      <c r="L4" s="1029"/>
      <c r="M4" s="1029"/>
      <c r="N4" s="1029"/>
      <c r="O4" s="1029"/>
      <c r="P4" s="1029"/>
      <c r="Q4" s="1029"/>
      <c r="R4" s="254"/>
      <c r="S4" s="1029" t="s">
        <v>188</v>
      </c>
      <c r="T4" s="1029"/>
      <c r="U4" s="1029"/>
      <c r="V4" s="1029"/>
      <c r="W4" s="1029"/>
      <c r="X4" s="1029"/>
      <c r="Y4" s="1029"/>
      <c r="Z4" s="1029"/>
      <c r="AA4" s="1029"/>
      <c r="AB4" s="1029"/>
      <c r="AC4" s="1029"/>
      <c r="AD4" s="1029"/>
      <c r="AE4" s="1029"/>
      <c r="AF4" s="254"/>
      <c r="AG4" s="1029" t="s">
        <v>188</v>
      </c>
      <c r="AH4" s="1029"/>
      <c r="AI4" s="1029"/>
      <c r="AJ4" s="1029"/>
      <c r="AK4" s="1029"/>
      <c r="AL4" s="1029"/>
      <c r="AM4" s="1029"/>
      <c r="AN4" s="1029"/>
      <c r="AO4" s="1029"/>
      <c r="AP4" s="1029"/>
      <c r="AQ4" s="1029"/>
      <c r="AR4" s="1029"/>
      <c r="AS4" s="1029"/>
      <c r="AT4" s="254"/>
      <c r="AU4" s="1029" t="s">
        <v>188</v>
      </c>
      <c r="AV4" s="1029"/>
      <c r="AW4" s="1029"/>
      <c r="AX4" s="1029"/>
      <c r="AY4" s="1029"/>
      <c r="AZ4" s="1029"/>
      <c r="BA4" s="1029"/>
      <c r="BB4" s="1029"/>
      <c r="BC4" s="1029"/>
      <c r="BD4" s="1029"/>
      <c r="BE4" s="1029"/>
      <c r="BF4" s="1029"/>
      <c r="BG4" s="1029"/>
      <c r="BH4" s="254"/>
      <c r="BI4" s="1029" t="s">
        <v>188</v>
      </c>
      <c r="BJ4" s="1029"/>
      <c r="BK4" s="1029"/>
      <c r="BL4" s="1029"/>
      <c r="BM4" s="1029"/>
      <c r="BN4" s="1029"/>
      <c r="BO4" s="1029"/>
      <c r="BP4" s="1029"/>
      <c r="BQ4" s="1029"/>
      <c r="BR4" s="1029"/>
      <c r="BS4" s="1029"/>
      <c r="BT4" s="1029"/>
      <c r="BU4" s="1029"/>
      <c r="BV4" s="254"/>
      <c r="BW4" s="1029" t="s">
        <v>188</v>
      </c>
      <c r="BX4" s="1029"/>
      <c r="BY4" s="1029"/>
      <c r="BZ4" s="1029"/>
      <c r="CA4" s="1029"/>
      <c r="CB4" s="1029"/>
      <c r="CC4" s="1029"/>
      <c r="CD4" s="1029"/>
      <c r="CE4" s="1029"/>
      <c r="CF4" s="1029"/>
      <c r="CG4" s="1029"/>
      <c r="CH4" s="1029"/>
      <c r="CI4" s="1029"/>
      <c r="CJ4" s="275"/>
      <c r="CK4" s="1029" t="s">
        <v>188</v>
      </c>
      <c r="CL4" s="1029"/>
      <c r="CM4" s="1029"/>
      <c r="CN4" s="1029"/>
      <c r="CO4" s="1029"/>
      <c r="CP4" s="1029"/>
      <c r="CQ4" s="1029"/>
      <c r="CR4" s="1029"/>
      <c r="CS4" s="1029"/>
      <c r="CT4" s="1029"/>
      <c r="CU4" s="1029"/>
      <c r="CV4" s="1029"/>
      <c r="CW4" s="1029"/>
      <c r="CX4" s="254"/>
      <c r="CY4" s="1029" t="s">
        <v>188</v>
      </c>
      <c r="CZ4" s="1029"/>
      <c r="DA4" s="1029"/>
      <c r="DB4" s="1029"/>
      <c r="DC4" s="1029"/>
      <c r="DD4" s="1029"/>
      <c r="DE4" s="1029"/>
      <c r="DF4" s="1029"/>
      <c r="DG4" s="1029"/>
      <c r="DH4" s="1029"/>
      <c r="DI4" s="1029"/>
      <c r="DJ4" s="1029"/>
      <c r="DK4" s="1029"/>
      <c r="DL4" s="254"/>
      <c r="DM4" s="1029" t="s">
        <v>188</v>
      </c>
      <c r="DN4" s="1029"/>
      <c r="DO4" s="1029"/>
      <c r="DP4" s="1029"/>
      <c r="DQ4" s="1029"/>
      <c r="DR4" s="1029"/>
      <c r="DS4" s="1029"/>
      <c r="DT4" s="1029"/>
      <c r="DU4" s="1029"/>
      <c r="DV4" s="1029"/>
      <c r="DW4" s="1029"/>
      <c r="DX4" s="1029"/>
      <c r="DY4" s="1029"/>
      <c r="DZ4" s="255"/>
      <c r="EA4" s="254"/>
      <c r="EB4" s="254"/>
      <c r="EC4" s="254"/>
    </row>
    <row r="5" spans="2:215" s="256" customFormat="1" ht="12" x14ac:dyDescent="0.2">
      <c r="B5" s="146" t="s">
        <v>93</v>
      </c>
      <c r="C5" s="147" t="s">
        <v>94</v>
      </c>
      <c r="E5" s="257" t="s">
        <v>189</v>
      </c>
      <c r="F5" s="257" t="s">
        <v>190</v>
      </c>
      <c r="G5" s="257" t="s">
        <v>191</v>
      </c>
      <c r="H5" s="257" t="s">
        <v>192</v>
      </c>
      <c r="I5" s="257" t="s">
        <v>193</v>
      </c>
      <c r="J5" s="257" t="s">
        <v>194</v>
      </c>
      <c r="K5" s="257" t="s">
        <v>195</v>
      </c>
      <c r="L5" s="257" t="s">
        <v>196</v>
      </c>
      <c r="M5" s="257" t="s">
        <v>197</v>
      </c>
      <c r="N5" s="257" t="s">
        <v>198</v>
      </c>
      <c r="O5" s="257" t="s">
        <v>199</v>
      </c>
      <c r="P5" s="257" t="s">
        <v>200</v>
      </c>
      <c r="Q5" s="258" t="s">
        <v>201</v>
      </c>
      <c r="R5" s="254"/>
      <c r="S5" s="257" t="s">
        <v>189</v>
      </c>
      <c r="T5" s="257" t="s">
        <v>190</v>
      </c>
      <c r="U5" s="257" t="s">
        <v>191</v>
      </c>
      <c r="V5" s="257" t="s">
        <v>192</v>
      </c>
      <c r="W5" s="257" t="s">
        <v>193</v>
      </c>
      <c r="X5" s="257" t="s">
        <v>194</v>
      </c>
      <c r="Y5" s="257" t="s">
        <v>195</v>
      </c>
      <c r="Z5" s="257" t="s">
        <v>196</v>
      </c>
      <c r="AA5" s="257" t="s">
        <v>197</v>
      </c>
      <c r="AB5" s="257" t="s">
        <v>198</v>
      </c>
      <c r="AC5" s="257" t="s">
        <v>199</v>
      </c>
      <c r="AD5" s="257" t="s">
        <v>200</v>
      </c>
      <c r="AE5" s="258" t="s">
        <v>201</v>
      </c>
      <c r="AF5" s="254"/>
      <c r="AG5" s="619" t="s">
        <v>189</v>
      </c>
      <c r="AH5" s="619" t="s">
        <v>190</v>
      </c>
      <c r="AI5" s="619" t="s">
        <v>191</v>
      </c>
      <c r="AJ5" s="619" t="s">
        <v>192</v>
      </c>
      <c r="AK5" s="619" t="s">
        <v>193</v>
      </c>
      <c r="AL5" s="619" t="s">
        <v>194</v>
      </c>
      <c r="AM5" s="619" t="s">
        <v>195</v>
      </c>
      <c r="AN5" s="619" t="s">
        <v>196</v>
      </c>
      <c r="AO5" s="619" t="s">
        <v>197</v>
      </c>
      <c r="AP5" s="619" t="s">
        <v>198</v>
      </c>
      <c r="AQ5" s="619" t="s">
        <v>199</v>
      </c>
      <c r="AR5" s="619" t="s">
        <v>200</v>
      </c>
      <c r="AS5" s="258" t="s">
        <v>201</v>
      </c>
      <c r="AT5" s="254"/>
      <c r="AU5" s="619" t="s">
        <v>189</v>
      </c>
      <c r="AV5" s="619" t="s">
        <v>190</v>
      </c>
      <c r="AW5" s="619" t="s">
        <v>191</v>
      </c>
      <c r="AX5" s="619" t="s">
        <v>192</v>
      </c>
      <c r="AY5" s="619" t="s">
        <v>193</v>
      </c>
      <c r="AZ5" s="619" t="s">
        <v>194</v>
      </c>
      <c r="BA5" s="619" t="s">
        <v>195</v>
      </c>
      <c r="BB5" s="619" t="s">
        <v>196</v>
      </c>
      <c r="BC5" s="619" t="s">
        <v>197</v>
      </c>
      <c r="BD5" s="619" t="s">
        <v>198</v>
      </c>
      <c r="BE5" s="619" t="s">
        <v>199</v>
      </c>
      <c r="BF5" s="619" t="s">
        <v>200</v>
      </c>
      <c r="BG5" s="258" t="s">
        <v>201</v>
      </c>
      <c r="BH5" s="254"/>
      <c r="BI5" s="619" t="s">
        <v>189</v>
      </c>
      <c r="BJ5" s="619" t="s">
        <v>190</v>
      </c>
      <c r="BK5" s="619" t="s">
        <v>191</v>
      </c>
      <c r="BL5" s="619" t="s">
        <v>192</v>
      </c>
      <c r="BM5" s="619" t="s">
        <v>193</v>
      </c>
      <c r="BN5" s="619" t="s">
        <v>194</v>
      </c>
      <c r="BO5" s="619" t="s">
        <v>195</v>
      </c>
      <c r="BP5" s="619" t="s">
        <v>196</v>
      </c>
      <c r="BQ5" s="619" t="s">
        <v>197</v>
      </c>
      <c r="BR5" s="619" t="s">
        <v>198</v>
      </c>
      <c r="BS5" s="619" t="s">
        <v>199</v>
      </c>
      <c r="BT5" s="619" t="s">
        <v>200</v>
      </c>
      <c r="BU5" s="258" t="s">
        <v>201</v>
      </c>
      <c r="BV5" s="254"/>
      <c r="BW5" s="619" t="s">
        <v>189</v>
      </c>
      <c r="BX5" s="619" t="s">
        <v>190</v>
      </c>
      <c r="BY5" s="619" t="s">
        <v>191</v>
      </c>
      <c r="BZ5" s="619" t="s">
        <v>192</v>
      </c>
      <c r="CA5" s="619" t="s">
        <v>193</v>
      </c>
      <c r="CB5" s="619" t="s">
        <v>194</v>
      </c>
      <c r="CC5" s="619" t="s">
        <v>195</v>
      </c>
      <c r="CD5" s="619" t="s">
        <v>196</v>
      </c>
      <c r="CE5" s="619" t="s">
        <v>197</v>
      </c>
      <c r="CF5" s="619" t="s">
        <v>198</v>
      </c>
      <c r="CG5" s="619" t="s">
        <v>199</v>
      </c>
      <c r="CH5" s="619" t="s">
        <v>200</v>
      </c>
      <c r="CI5" s="258" t="s">
        <v>201</v>
      </c>
      <c r="CJ5" s="276"/>
      <c r="CK5" s="257" t="s">
        <v>189</v>
      </c>
      <c r="CL5" s="257" t="s">
        <v>190</v>
      </c>
      <c r="CM5" s="257" t="s">
        <v>191</v>
      </c>
      <c r="CN5" s="257" t="s">
        <v>192</v>
      </c>
      <c r="CO5" s="257" t="s">
        <v>193</v>
      </c>
      <c r="CP5" s="257" t="s">
        <v>194</v>
      </c>
      <c r="CQ5" s="257" t="s">
        <v>195</v>
      </c>
      <c r="CR5" s="257" t="s">
        <v>196</v>
      </c>
      <c r="CS5" s="257" t="s">
        <v>197</v>
      </c>
      <c r="CT5" s="257" t="s">
        <v>198</v>
      </c>
      <c r="CU5" s="257" t="s">
        <v>199</v>
      </c>
      <c r="CV5" s="257" t="s">
        <v>200</v>
      </c>
      <c r="CW5" s="258" t="s">
        <v>201</v>
      </c>
      <c r="CX5" s="254"/>
      <c r="CY5" s="257" t="s">
        <v>189</v>
      </c>
      <c r="CZ5" s="257" t="s">
        <v>190</v>
      </c>
      <c r="DA5" s="257" t="s">
        <v>191</v>
      </c>
      <c r="DB5" s="257" t="s">
        <v>192</v>
      </c>
      <c r="DC5" s="257" t="s">
        <v>193</v>
      </c>
      <c r="DD5" s="257" t="s">
        <v>194</v>
      </c>
      <c r="DE5" s="257" t="s">
        <v>195</v>
      </c>
      <c r="DF5" s="257" t="s">
        <v>196</v>
      </c>
      <c r="DG5" s="257" t="s">
        <v>197</v>
      </c>
      <c r="DH5" s="257" t="s">
        <v>198</v>
      </c>
      <c r="DI5" s="257" t="s">
        <v>199</v>
      </c>
      <c r="DJ5" s="257" t="s">
        <v>200</v>
      </c>
      <c r="DK5" s="464" t="s">
        <v>201</v>
      </c>
      <c r="DL5" s="254"/>
      <c r="DM5" s="257" t="s">
        <v>189</v>
      </c>
      <c r="DN5" s="257" t="s">
        <v>190</v>
      </c>
      <c r="DO5" s="257" t="s">
        <v>191</v>
      </c>
      <c r="DP5" s="257" t="s">
        <v>192</v>
      </c>
      <c r="DQ5" s="257" t="s">
        <v>193</v>
      </c>
      <c r="DR5" s="257" t="s">
        <v>194</v>
      </c>
      <c r="DS5" s="257" t="s">
        <v>195</v>
      </c>
      <c r="DT5" s="257" t="s">
        <v>196</v>
      </c>
      <c r="DU5" s="257" t="s">
        <v>197</v>
      </c>
      <c r="DV5" s="257" t="s">
        <v>198</v>
      </c>
      <c r="DW5" s="257" t="s">
        <v>199</v>
      </c>
      <c r="DX5" s="257" t="s">
        <v>200</v>
      </c>
      <c r="DY5" s="464" t="s">
        <v>201</v>
      </c>
      <c r="DZ5" s="254"/>
      <c r="EA5" s="254"/>
      <c r="EB5" s="254"/>
      <c r="EC5" s="254"/>
    </row>
    <row r="6" spans="2:215" s="256" customFormat="1" ht="12" x14ac:dyDescent="0.2">
      <c r="B6" s="148">
        <v>107307</v>
      </c>
      <c r="C6" s="149" t="s">
        <v>95</v>
      </c>
      <c r="E6" s="618">
        <f>+[2]A01!$C$11+[2]A01!$C$13+[2]A01!$C$15+[2]A01!$C$17+[2]A01!$C$19+[2]A01!$C$21+[2]A01!$C$23+[2]A01!$C$25+[2]A01!$C$27+[2]A01!$C$29+[2]A01!$C$31+[2]A01!$C$36+[2]A01!$C$44+[2]A01!$C$48+[2]A01!$C$51+[2]A01!$C$54+[2]A01!$C$57+[2]A01!$C$63</f>
        <v>682</v>
      </c>
      <c r="F6" s="618">
        <f>+[3]A01!$C$11+[3]A01!$C$13+[3]A01!$C$15+[3]A01!$C$17+[3]A01!$C$19+[3]A01!$C$21+[3]A01!$C$23+[3]A01!$C$25+[3]A01!$C$27+[3]A01!$C$29+[3]A01!$C$31+[3]A01!$C$36+[3]A01!$C$44+[3]A01!$C$48+[3]A01!$C$51+[3]A01!$C$54+[3]A01!$C$57+[3]A01!$C$63</f>
        <v>465</v>
      </c>
      <c r="G6" s="618">
        <f>+[4]A01!$C$11+[4]A01!$C$13+[4]A01!$C$15+[4]A01!$C$17+[4]A01!$C$19+[4]A01!$C$21+[4]A01!$C$23+[4]A01!$C$25+[4]A01!$C$27+[4]A01!$C$29+[4]A01!$C$31+[4]A01!$C$36+[4]A01!$C$44+[4]A01!$C$48+[4]A01!$C$51+[4]A01!$C$54+[4]A01!$C$57+[4]A01!$C$63</f>
        <v>647</v>
      </c>
      <c r="H6" s="618">
        <f>+[5]A01!$C$11+[5]A01!$C$13+[5]A01!$C$15+[5]A01!$C$17+[5]A01!$C$19+[5]A01!$C$21+[5]A01!$C$23+[5]A01!$C$25+[5]A01!$C$27+[5]A01!$C$29+[5]A01!$C$31+[5]A01!$C$36+[5]A01!$C$44+[5]A01!$C$48+[5]A01!$C$51+[5]A01!$C$54+[5]A01!$C$57+[5]A01!$C$63</f>
        <v>699</v>
      </c>
      <c r="I6" s="618">
        <f>+[6]A01!$C$11+[6]A01!$C$13+[6]A01!$C$15+[6]A01!$C$17+[6]A01!$C$19+[6]A01!$C$21+[6]A01!$C$23+[6]A01!$C$25+[6]A01!$C$27+[6]A01!$C$29+[6]A01!$C$31+[6]A01!$C$36+[6]A01!$C$44+[6]A01!$C$48+[6]A01!$C$51+[6]A01!$C$54+[6]A01!$C$57+[6]A01!$C$63</f>
        <v>796</v>
      </c>
      <c r="J6" s="618">
        <f>+[7]A01!$C$11+[7]A01!$C$13+[7]A01!$C$15+[7]A01!$C$17+[7]A01!$C$19+[7]A01!$C$21+[7]A01!$C$23+[7]A01!$C$25+[7]A01!$C$27+[7]A01!$C$29+[7]A01!$C$31+[7]A01!$C$36+[7]A01!$C$44+[7]A01!$C$48+[7]A01!$C$51+[7]A01!$C$54+[7]A01!$C$57+[7]A01!$C$63</f>
        <v>760</v>
      </c>
      <c r="K6" s="618">
        <f>+[8]A01!$C$11+[8]A01!$C$13+[8]A01!$C$15+[8]A01!$C$17+[8]A01!$C$19+[8]A01!$C$21+[8]A01!$C$23+[8]A01!$C$25+[8]A01!$C$27+[8]A01!$C$29+[8]A01!$C$31+[8]A01!$C$36+[8]A01!$C$44+[8]A01!$C$48+[8]A01!$C$51+[8]A01!$C$54+[8]A01!$C$57+[8]A01!$C$63</f>
        <v>837</v>
      </c>
      <c r="L6" s="618">
        <f>+[9]A01!$C$11+[9]A01!$C$13+[9]A01!$C$15+[9]A01!$C$17+[9]A01!$C$19+[9]A01!$C$21+[9]A01!$C$23+[9]A01!$C$25+[9]A01!$C$27+[9]A01!$C$29+[9]A01!$C$31+[9]A01!$C$36+[9]A01!$C$44+[9]A01!$C$48+[9]A01!$C$51+[9]A01!$C$54+[9]A01!$C$57+[9]A01!$C$63</f>
        <v>518</v>
      </c>
      <c r="M6" s="618">
        <f>+[10]A01!$C$11+[10]A01!$C$13+[10]A01!$C$15+[10]A01!$C$17+[10]A01!$C$19+[10]A01!$C$21+[10]A01!$C$23+[10]A01!$C$25+[10]A01!$C$27+[10]A01!$C$29+[10]A01!$C$31+[10]A01!$C$36+[10]A01!$C$44+[10]A01!$C$48+[10]A01!$C$51+[10]A01!$C$54+[10]A01!$C$57+[10]A01!$C$63</f>
        <v>753</v>
      </c>
      <c r="N6" s="618">
        <f>+[11]A01!$C$11+[11]A01!$C$13+[11]A01!$C$15+[11]A01!$C$17+[11]A01!$C$19+[11]A01!$C$21+[11]A01!$C$23+[11]A01!$C$25+[11]A01!$C$27+[11]A01!$C$29+[11]A01!$C$31+[11]A01!$C$36+[11]A01!$C$44+[11]A01!$C$48+[11]A01!$C$51+[11]A01!$C$54+[11]A01!$C$57+[11]A01!$C$63</f>
        <v>948</v>
      </c>
      <c r="O6" s="618">
        <f>+[12]A01!$C$11+[12]A01!$C$13+[12]A01!$C$15+[12]A01!$C$17+[12]A01!$C$19+[12]A01!$C$21+[12]A01!$C$23+[12]A01!$C$25+[12]A01!$C$27+[12]A01!$C$29+[12]A01!$C$31+[12]A01!$C$36+[12]A01!$C$44+[12]A01!$C$48+[12]A01!$C$51+[12]A01!$C$54+[12]A01!$C$57+[12]A01!$C$63</f>
        <v>0</v>
      </c>
      <c r="P6" s="618">
        <f>+[13]A01!$C$11+[13]A01!$C$13+[13]A01!$C$15+[13]A01!$C$17+[13]A01!$C$19+[13]A01!$C$21+[13]A01!$C$23+[13]A01!$C$25+[13]A01!$C$27+[13]A01!$C$29+[13]A01!$C$31+[13]A01!$C$36+[13]A01!$C$44+[13]A01!$C$48+[13]A01!$C$51+[13]A01!$C$54+[13]A01!$C$57+[13]A01!$C$63</f>
        <v>0</v>
      </c>
      <c r="Q6" s="618">
        <f>SUM(E6:P6)</f>
        <v>7105</v>
      </c>
      <c r="R6" s="254"/>
      <c r="S6" s="618">
        <f>+[2]A04!$B$12</f>
        <v>1444</v>
      </c>
      <c r="T6" s="618">
        <f>+[3]A04!$B$12</f>
        <v>1884</v>
      </c>
      <c r="U6" s="618">
        <f>+[4]A04!$B$12</f>
        <v>1394</v>
      </c>
      <c r="V6" s="618">
        <f>+[5]A04!$B$12</f>
        <v>1464</v>
      </c>
      <c r="W6" s="618">
        <f>+[6]A04!$B$12</f>
        <v>1445</v>
      </c>
      <c r="X6" s="618">
        <f>+[7]A04!$B$12</f>
        <v>1391</v>
      </c>
      <c r="Y6" s="618">
        <f>+[8]A04!$B$12</f>
        <v>1575</v>
      </c>
      <c r="Z6" s="618">
        <f>+[9]A04!$B$12</f>
        <v>1035</v>
      </c>
      <c r="AA6" s="618">
        <f>+[10]A04!$B$12</f>
        <v>1136</v>
      </c>
      <c r="AB6" s="618">
        <f>+[11]A04!$B$12</f>
        <v>2828</v>
      </c>
      <c r="AC6" s="618">
        <f>+[12]A04!$B$12</f>
        <v>0</v>
      </c>
      <c r="AD6" s="618">
        <f>+[13]A04!$B$12</f>
        <v>0</v>
      </c>
      <c r="AE6" s="272">
        <f>SUM(S6:AD6)</f>
        <v>15596</v>
      </c>
      <c r="AF6" s="254"/>
      <c r="AG6" s="618">
        <f>+[2]A06!$C$12</f>
        <v>305</v>
      </c>
      <c r="AH6" s="618">
        <f>+[3]A06!$C$12</f>
        <v>179</v>
      </c>
      <c r="AI6" s="618">
        <f>+[4]A06!$C$12</f>
        <v>234</v>
      </c>
      <c r="AJ6" s="618">
        <f>+[5]A06!$C$12</f>
        <v>193</v>
      </c>
      <c r="AK6" s="618">
        <f>+[6]A06!$C$12</f>
        <v>244</v>
      </c>
      <c r="AL6" s="618">
        <f>+[7]A06!$C$12</f>
        <v>319</v>
      </c>
      <c r="AM6" s="618">
        <f>+[8]A06!$C$12</f>
        <v>300</v>
      </c>
      <c r="AN6" s="618">
        <f>+[9]A06!$C$12</f>
        <v>252</v>
      </c>
      <c r="AO6" s="618">
        <f>+[10]A06!$C$12</f>
        <v>165</v>
      </c>
      <c r="AP6" s="618">
        <f>+[11]A06!$C$12</f>
        <v>346</v>
      </c>
      <c r="AQ6" s="618">
        <f>+[12]A06!$C$12</f>
        <v>0</v>
      </c>
      <c r="AR6" s="618">
        <f>+[13]A06!$C$12</f>
        <v>0</v>
      </c>
      <c r="AS6" s="272">
        <f>SUM(AG6:AR6)</f>
        <v>2537</v>
      </c>
      <c r="AT6" s="254"/>
      <c r="AU6" s="272">
        <v>0</v>
      </c>
      <c r="AV6" s="272">
        <v>0</v>
      </c>
      <c r="AW6" s="272">
        <v>0</v>
      </c>
      <c r="AX6" s="272">
        <v>0</v>
      </c>
      <c r="AY6" s="272">
        <v>0</v>
      </c>
      <c r="AZ6" s="272">
        <v>0</v>
      </c>
      <c r="BA6" s="272">
        <v>0</v>
      </c>
      <c r="BB6" s="272">
        <v>0</v>
      </c>
      <c r="BC6" s="272">
        <v>0</v>
      </c>
      <c r="BD6" s="272">
        <v>0</v>
      </c>
      <c r="BE6" s="272">
        <v>0</v>
      </c>
      <c r="BF6" s="272">
        <v>0</v>
      </c>
      <c r="BG6" s="272">
        <v>0</v>
      </c>
      <c r="BH6" s="254"/>
      <c r="BI6" s="272">
        <v>0</v>
      </c>
      <c r="BJ6" s="272">
        <v>0</v>
      </c>
      <c r="BK6" s="272">
        <v>0</v>
      </c>
      <c r="BL6" s="272">
        <v>0</v>
      </c>
      <c r="BM6" s="272">
        <v>0</v>
      </c>
      <c r="BN6" s="272">
        <v>0</v>
      </c>
      <c r="BO6" s="272">
        <v>0</v>
      </c>
      <c r="BP6" s="272">
        <v>0</v>
      </c>
      <c r="BQ6" s="272">
        <v>0</v>
      </c>
      <c r="BR6" s="272">
        <v>0</v>
      </c>
      <c r="BS6" s="272">
        <v>0</v>
      </c>
      <c r="BT6" s="272">
        <v>0</v>
      </c>
      <c r="BU6" s="272">
        <v>0</v>
      </c>
      <c r="BV6" s="254"/>
      <c r="BW6" s="618">
        <f>+[2]A23!$B$58+[2]A23!$B$63</f>
        <v>68</v>
      </c>
      <c r="BX6" s="618">
        <f>+[3]A23!$B$58+[3]A23!$B$63</f>
        <v>103</v>
      </c>
      <c r="BY6" s="618">
        <f>+[4]A23!$B$58+[4]A23!$B$63</f>
        <v>51</v>
      </c>
      <c r="BZ6" s="618">
        <f>+[5]A23!$B$58+[5]A23!$B$63</f>
        <v>69</v>
      </c>
      <c r="CA6" s="618">
        <f>+[6]A23!$B$58+[6]A23!$B$63</f>
        <v>69</v>
      </c>
      <c r="CB6" s="618">
        <f>+[7]A23!$B$58+[7]A23!$B$63</f>
        <v>111</v>
      </c>
      <c r="CC6" s="618">
        <f>+[8]A23!$B$58+[8]A23!$B$63</f>
        <v>66</v>
      </c>
      <c r="CD6" s="618">
        <f>+[9]A23!$B$58+[9]A23!$B$63</f>
        <v>88</v>
      </c>
      <c r="CE6" s="618">
        <f>+[10]A23!$B$58+[10]A23!$B$63</f>
        <v>63</v>
      </c>
      <c r="CF6" s="618">
        <f>+[11]A23!$B$58+[11]A23!$B$63</f>
        <v>80</v>
      </c>
      <c r="CG6" s="618">
        <f>+[12]A23!$B$58+[12]A23!$B$63</f>
        <v>0</v>
      </c>
      <c r="CH6" s="618">
        <f>+[13]A23!$B$58+[13]A23!$B$63</f>
        <v>0</v>
      </c>
      <c r="CI6" s="272">
        <f>SUM(BW6:CH6)</f>
        <v>768</v>
      </c>
      <c r="CJ6" s="254"/>
      <c r="CK6" s="608">
        <f>+[2]A32!$B$28+[2]A32!$C$134+[2]A32!$C$145</f>
        <v>0</v>
      </c>
      <c r="CL6" s="608">
        <f>+[3]A32!$B$28+[3]A32!$C$134+[3]A32!$C$145</f>
        <v>0</v>
      </c>
      <c r="CM6" s="608">
        <f>+[4]A32!$B$28+[4]A32!$C$134+[4]A32!$C$145</f>
        <v>0</v>
      </c>
      <c r="CN6" s="608">
        <f>+[5]A32!$B$28+[5]A32!$C$134+[5]A32!$C$145</f>
        <v>0</v>
      </c>
      <c r="CO6" s="608">
        <f>+[6]A32!$B$28+[6]A32!$C$134+[6]A32!$C$145</f>
        <v>0</v>
      </c>
      <c r="CP6" s="254">
        <v>0</v>
      </c>
      <c r="CQ6" s="254">
        <v>0</v>
      </c>
      <c r="CR6" s="254">
        <v>0</v>
      </c>
      <c r="CS6" s="254">
        <v>0</v>
      </c>
      <c r="CT6" s="254">
        <v>0</v>
      </c>
      <c r="CU6" s="254">
        <v>0</v>
      </c>
      <c r="CV6" s="254">
        <v>0</v>
      </c>
      <c r="CW6" s="260">
        <v>0</v>
      </c>
      <c r="CX6" s="254"/>
      <c r="CY6" s="608">
        <f>+E6+S6+AG6+AU6+BI6+BW6+CK6</f>
        <v>2499</v>
      </c>
      <c r="CZ6" s="259">
        <f t="shared" ref="CZ6:DJ12" si="0">+F6+T6+AH6+AV6+BJ6+BX6+CL6</f>
        <v>2631</v>
      </c>
      <c r="DA6" s="259">
        <f t="shared" si="0"/>
        <v>2326</v>
      </c>
      <c r="DB6" s="259">
        <f t="shared" si="0"/>
        <v>2425</v>
      </c>
      <c r="DC6" s="259">
        <f t="shared" si="0"/>
        <v>2554</v>
      </c>
      <c r="DD6" s="259">
        <f t="shared" si="0"/>
        <v>2581</v>
      </c>
      <c r="DE6" s="259">
        <f t="shared" si="0"/>
        <v>2778</v>
      </c>
      <c r="DF6" s="259">
        <f t="shared" si="0"/>
        <v>1893</v>
      </c>
      <c r="DG6" s="259">
        <f t="shared" si="0"/>
        <v>2117</v>
      </c>
      <c r="DH6" s="259">
        <f t="shared" si="0"/>
        <v>4202</v>
      </c>
      <c r="DI6" s="259">
        <f t="shared" si="0"/>
        <v>0</v>
      </c>
      <c r="DJ6" s="259">
        <f t="shared" si="0"/>
        <v>0</v>
      </c>
      <c r="DK6" s="465">
        <f>SUM(CY6:DJ6)</f>
        <v>26006</v>
      </c>
      <c r="DL6" s="254"/>
      <c r="DM6" s="277">
        <f>SUM([2]A07!$AE$136,[2]A07!$AF$136)-SUM([2]A07!$AE$120,[2]A07!$AE$121,[2]A07!$AE$129,[2]A07!$AE$130,[2]A07!$AE$131,[2]A07!$AF$120,[2]A07!$AF$121,[2]A07!$AF$122,[2]A07!$AF$129,[2]A07!$AF$130,[2]A07!$AF$131)</f>
        <v>95</v>
      </c>
      <c r="DN6" s="277">
        <f>SUM([3]A07!$AE$136,[3]A07!$AF$136)-SUM([3]A07!$AE$120,[3]A07!$AE$121,[3]A07!$AE$129,[3]A07!$AE$130,[3]A07!$AE$131,[3]A07!$AF$120,[3]A07!$AF$121,[3]A07!$AF$122,[3]A07!$AF$129,[3]A07!$AF$130,[3]A07!$AF$131)</f>
        <v>101</v>
      </c>
      <c r="DO6" s="277">
        <f>SUM([4]A07!$AE$136,[4]A07!$AF$136)-SUM([4]A07!$AE$120,[4]A07!$AE$121,[4]A07!$AE$129,[4]A07!$AE$130,[4]A07!$AE$131,[4]A07!$AF$120,[4]A07!$AF$121,[4]A07!$AF$122,[4]A07!$AF$129,[4]A07!$AF$130,[4]A07!$AF$131)</f>
        <v>64</v>
      </c>
      <c r="DP6" s="277">
        <f>SUM([5]A07!$AE$136,[5]A07!$AF$136)-SUM([5]A07!$AE$120,[5]A07!$AE$121,[5]A07!$AE$129,[5]A07!$AE$130,[5]A07!$AE$131,[5]A07!$AF$120,[5]A07!$AF$121,[5]A07!$AF$122,[5]A07!$AF$129,[5]A07!$AF$130,[5]A07!$AF$131)</f>
        <v>40</v>
      </c>
      <c r="DQ6" s="277">
        <f>SUM([6]A07!$AE$136,[6]A07!$AF$136)-SUM([6]A07!$AE$120,[6]A07!$AE$121,[6]A07!$AE$129,[6]A07!$AE$130,[6]A07!$AE$131,[6]A07!$AF$120,[6]A07!$AF$121,[6]A07!$AF$122,[6]A07!$AF$129,[6]A07!$AF$130,[6]A07!$AF$131)</f>
        <v>97</v>
      </c>
      <c r="DR6" s="277">
        <f>SUM([7]A07!$AE$136,[7]A07!$AF$136)-SUM([7]A07!$AE$120,[7]A07!$AE$121,[7]A07!$AE$129,[7]A07!$AE$130,[7]A07!$AE$131,[7]A07!$AF$120,[7]A07!$AF$121,[7]A07!$AF$122,[7]A07!$AF$129,[7]A07!$AF$130,[7]A07!$AF$131)</f>
        <v>83</v>
      </c>
      <c r="DS6" s="277">
        <f>SUM([8]A07!$AE$136,[8]A07!$AF$136)-SUM([8]A07!$AE$120,[8]A07!$AE$121,[8]A07!$AE$129,[8]A07!$AE$130,[8]A07!$AE$131,[8]A07!$AF$120,[8]A07!$AF$121,[8]A07!$AF$122,[8]A07!$AF$129,[8]A07!$AF$130,[8]A07!$AF$131)</f>
        <v>98</v>
      </c>
      <c r="DT6" s="277">
        <f>SUM([9]A07!$AE$136,[9]A07!$AF$136)-SUM([9]A07!$AE$120,[9]A07!$AE$121,[9]A07!$AE$129,[9]A07!$AE$130,[9]A07!$AE$131,[9]A07!$AF$120,[9]A07!$AF$121,[9]A07!$AF$122,[9]A07!$AF$129,[9]A07!$AF$130,[9]A07!$AF$131)</f>
        <v>52</v>
      </c>
      <c r="DU6" s="277">
        <f>SUM([10]A07!$AE$136,[10]A07!$AF$136)-SUM([10]A07!$AE$120,[10]A07!$AE$121,[10]A07!$AE$129,[10]A07!$AE$130,[10]A07!$AE$131,[10]A07!$AF$120,[10]A07!$AF$121,[10]A07!$AF$122,[10]A07!$AF$129,[10]A07!$AF$130,[10]A07!$AF$131)</f>
        <v>41</v>
      </c>
      <c r="DV6" s="277">
        <f>SUM([11]A07!$AE$136,[11]A07!$AF$136)-SUM([11]A07!$AE$120,[11]A07!$AE$121,[11]A07!$AE$129,[11]A07!$AE$130,[11]A07!$AE$131,[11]A07!$AF$120,[11]A07!$AF$121,[11]A07!$AF$122,[11]A07!$AF$129,[11]A07!$AF$130,[11]A07!$AF$131)</f>
        <v>57</v>
      </c>
      <c r="DW6" s="277">
        <f>SUM([12]A07!$AE$136,[12]A07!$AF$136)-SUM([12]A07!$AE$120,[12]A07!$AE$121,[12]A07!$AE$129,[12]A07!$AE$130,[12]A07!$AE$131,[12]A07!$AF$120,[12]A07!$AF$121,[12]A07!$AF$122,[12]A07!$AF$129,[12]A07!$AF$130,[12]A07!$AF$131)</f>
        <v>0</v>
      </c>
      <c r="DX6" s="277">
        <f>SUM([13]A07!$AE$136,[13]A07!$AF$136)-SUM([13]A07!$AE$120,[13]A07!$AE$121,[13]A07!$AE$129,[13]A07!$AE$130,[13]A07!$AE$131,[13]A07!$AF$120,[13]A07!$AF$121,[13]A07!$AF$122,[13]A07!$AF$129,[13]A07!$AF$130,[13]A07!$AF$131)</f>
        <v>0</v>
      </c>
      <c r="DY6" s="465">
        <f>SUM(DM6:DX6)</f>
        <v>728</v>
      </c>
      <c r="DZ6" s="254"/>
      <c r="EA6" s="791"/>
      <c r="EB6" s="791"/>
      <c r="EC6" s="791"/>
    </row>
    <row r="7" spans="2:215" s="256" customFormat="1" ht="12" x14ac:dyDescent="0.2">
      <c r="B7" s="148">
        <v>107308</v>
      </c>
      <c r="C7" s="149" t="s">
        <v>96</v>
      </c>
      <c r="E7" s="618">
        <f>+[14]A01!$C$11+[14]A01!$C$13+[14]A01!$C$15+[14]A01!$C$17+[14]A01!$C$19+[14]A01!$C$21+[14]A01!$C$23+[14]A01!$C$25+[14]A01!$C$27+[14]A01!$C$29+[14]A01!$C$31+[14]A01!$C$36+[14]A01!$C$44+[14]A01!$C$48+[14]A01!$C$51+[14]A01!$C$54+[14]A01!$C$57+[14]A01!$C$63</f>
        <v>323</v>
      </c>
      <c r="F7" s="618">
        <f>+[15]A01!$C$11+[15]A01!$C$13+[15]A01!$C$15+[15]A01!$C$17+[15]A01!$C$19+[15]A01!$C$21+[15]A01!$C$23+[15]A01!$C$25+[15]A01!$C$27+[15]A01!$C$29+[15]A01!$C$31+[15]A01!$C$36+[15]A01!$C$44+[15]A01!$C$48+[15]A01!$C$51+[15]A01!$C$54+[15]A01!$C$57+[15]A01!$C$63</f>
        <v>184</v>
      </c>
      <c r="G7" s="618">
        <f>+[16]A01!$C$11+[16]A01!$C$13+[16]A01!$C$15+[16]A01!$C$17+[16]A01!$C$19+[16]A01!$C$21+[16]A01!$C$23+[16]A01!$C$25+[16]A01!$C$27+[16]A01!$C$29+[16]A01!$C$31+[16]A01!$C$36+[16]A01!$C$44+[16]A01!$C$48+[16]A01!$C$51+[16]A01!$C$54+[16]A01!$C$57+[16]A01!$C$63</f>
        <v>337</v>
      </c>
      <c r="H7" s="618">
        <f>+[17]A01!$C$11+[17]A01!$C$13+[17]A01!$C$15+[17]A01!$C$17+[17]A01!$C$19+[17]A01!$C$21+[17]A01!$C$23+[17]A01!$C$25+[17]A01!$C$27+[17]A01!$C$29+[17]A01!$C$31+[17]A01!$C$36+[17]A01!$C$44+[17]A01!$C$48+[17]A01!$C$51+[17]A01!$C$54+[17]A01!$C$57+[17]A01!$C$63</f>
        <v>394</v>
      </c>
      <c r="I7" s="618">
        <f>+[18]A01!$C$11+[18]A01!$C$13+[18]A01!$C$15+[18]A01!$C$17+[18]A01!$C$19+[18]A01!$C$21+[18]A01!$C$23+[18]A01!$C$25+[18]A01!$C$27+[18]A01!$C$29+[18]A01!$C$31+[18]A01!$C$36+[18]A01!$C$44+[18]A01!$C$48+[18]A01!$C$51+[18]A01!$C$54+[18]A01!$C$57+[18]A01!$C$63</f>
        <v>617</v>
      </c>
      <c r="J7" s="618">
        <f>+[19]A01!$C$11+[19]A01!$C$13+[19]A01!$C$15+[19]A01!$C$17+[19]A01!$C$19+[19]A01!$C$21+[19]A01!$C$23+[19]A01!$C$25+[19]A01!$C$27+[19]A01!$C$29+[19]A01!$C$31+[19]A01!$C$36+[19]A01!$C$44+[19]A01!$C$48+[19]A01!$C$51+[19]A01!$C$54+[19]A01!$C$57+[19]A01!$C$63</f>
        <v>512</v>
      </c>
      <c r="K7" s="618">
        <f>+[20]A01!$C$11+[20]A01!$C$13+[20]A01!$C$15+[20]A01!$C$17+[20]A01!$C$19+[20]A01!$C$21+[20]A01!$C$23+[20]A01!$C$25+[20]A01!$C$27+[20]A01!$C$29+[20]A01!$C$31+[20]A01!$C$36+[20]A01!$C$44+[20]A01!$C$48+[20]A01!$C$51+[20]A01!$C$54+[20]A01!$C$57+[20]A01!$C$63</f>
        <v>491</v>
      </c>
      <c r="L7" s="618">
        <f>+[21]A01!$C$11+[21]A01!$C$13+[21]A01!$C$15+[21]A01!$C$17+[21]A01!$C$19+[21]A01!$C$21+[21]A01!$C$23+[21]A01!$C$25+[21]A01!$C$27+[21]A01!$C$29+[21]A01!$C$31+[21]A01!$C$36+[21]A01!$C$44+[21]A01!$C$48+[21]A01!$C$51+[21]A01!$C$54+[21]A01!$C$57+[21]A01!$C$63</f>
        <v>446</v>
      </c>
      <c r="M7" s="618">
        <f>+[22]A01!$C$11+[22]A01!$C$13+[22]A01!$C$15+[22]A01!$C$17+[22]A01!$C$19+[22]A01!$C$21+[22]A01!$C$23+[22]A01!$C$25+[22]A01!$C$27+[22]A01!$C$29+[22]A01!$C$31+[22]A01!$C$36+[22]A01!$C$44+[22]A01!$C$48+[22]A01!$C$51+[22]A01!$C$54+[22]A01!$C$57+[22]A01!$C$63</f>
        <v>277</v>
      </c>
      <c r="N7" s="618">
        <f>+[23]A01!$C$11+[23]A01!$C$13+[23]A01!$C$15+[23]A01!$C$17+[23]A01!$C$19+[23]A01!$C$21+[23]A01!$C$23+[23]A01!$C$25+[23]A01!$C$27+[23]A01!$C$29+[23]A01!$C$31+[23]A01!$C$36+[23]A01!$C$44+[23]A01!$C$48+[23]A01!$C$51+[23]A01!$C$54+[23]A01!$C$57+[23]A01!$C$63</f>
        <v>499</v>
      </c>
      <c r="O7" s="618">
        <f>+[24]A01!$C$11+[24]A01!$C$13+[24]A01!$C$15+[24]A01!$C$17+[24]A01!$C$19+[24]A01!$C$21+[24]A01!$C$23+[24]A01!$C$25+[24]A01!$C$27+[24]A01!$C$29+[24]A01!$C$31+[24]A01!$C$36+[24]A01!$C$44+[24]A01!$C$48+[24]A01!$C$51+[24]A01!$C$54+[24]A01!$C$57+[24]A01!$C$63</f>
        <v>0</v>
      </c>
      <c r="P7" s="618">
        <f>+[25]A01!$C$11+[25]A01!$C$13+[25]A01!$C$15+[25]A01!$C$17+[25]A01!$C$19+[25]A01!$C$21+[25]A01!$C$23+[25]A01!$C$25+[25]A01!$C$27+[25]A01!$C$29+[25]A01!$C$31+[25]A01!$C$36+[25]A01!$C$44+[25]A01!$C$48+[25]A01!$C$51+[25]A01!$C$54+[25]A01!$C$57+[25]A01!$C$63</f>
        <v>0</v>
      </c>
      <c r="Q7" s="272">
        <f t="shared" ref="Q7:Q8" si="1">SUM(E7:P7)</f>
        <v>4080</v>
      </c>
      <c r="R7" s="254"/>
      <c r="S7" s="618">
        <f>+[14]A04!$B$12</f>
        <v>956</v>
      </c>
      <c r="T7" s="618">
        <f>+[15]A04!$B$12</f>
        <v>1126</v>
      </c>
      <c r="U7" s="618">
        <f>+[16]A04!$B$12</f>
        <v>926</v>
      </c>
      <c r="V7" s="618">
        <f>+[17]A04!$B$12</f>
        <v>1088</v>
      </c>
      <c r="W7" s="618">
        <f>+[18]A04!$B$12</f>
        <v>1047</v>
      </c>
      <c r="X7" s="618">
        <f>+[19]A04!$B$12</f>
        <v>914</v>
      </c>
      <c r="Y7" s="618">
        <f>+[20]A04!$B$12</f>
        <v>1712</v>
      </c>
      <c r="Z7" s="618">
        <f>+[21]A04!$B$12</f>
        <v>1576</v>
      </c>
      <c r="AA7" s="618">
        <f>+[22]A04!$B$12</f>
        <v>1301</v>
      </c>
      <c r="AB7" s="618">
        <f>+[23]A04!$B$12</f>
        <v>858</v>
      </c>
      <c r="AC7" s="618">
        <f>+[24]A04!$B$12</f>
        <v>0</v>
      </c>
      <c r="AD7" s="618">
        <f>+[25]A04!$B$12</f>
        <v>0</v>
      </c>
      <c r="AE7" s="272">
        <f t="shared" ref="AE7:AE12" si="2">SUM(S7:AD7)</f>
        <v>11504</v>
      </c>
      <c r="AF7" s="254"/>
      <c r="AG7" s="618">
        <f>+[14]A06!$C$12</f>
        <v>0</v>
      </c>
      <c r="AH7" s="618">
        <f>+[15]A06!$C$12</f>
        <v>71</v>
      </c>
      <c r="AI7" s="618">
        <f>+[16]A06!$C$12</f>
        <v>118</v>
      </c>
      <c r="AJ7" s="618">
        <f>+[17]A06!$C$12</f>
        <v>131</v>
      </c>
      <c r="AK7" s="618">
        <f>+[18]A06!$C$12</f>
        <v>190</v>
      </c>
      <c r="AL7" s="618">
        <f>+[19]A06!$C$12</f>
        <v>186</v>
      </c>
      <c r="AM7" s="618">
        <f>+[20]A06!$C$12</f>
        <v>271</v>
      </c>
      <c r="AN7" s="618">
        <f>+[21]A06!$C$12</f>
        <v>249</v>
      </c>
      <c r="AO7" s="618">
        <f>+[22]A06!$C$12</f>
        <v>204</v>
      </c>
      <c r="AP7" s="618">
        <f>+[23]A06!$C$12</f>
        <v>244</v>
      </c>
      <c r="AQ7" s="618">
        <f>+[24]A06!$C$12</f>
        <v>0</v>
      </c>
      <c r="AR7" s="618">
        <f>+[25]A06!$C$12</f>
        <v>0</v>
      </c>
      <c r="AS7" s="272">
        <f t="shared" ref="AS7:AS12" si="3">SUM(AG7:AR7)</f>
        <v>1664</v>
      </c>
      <c r="AT7" s="254"/>
      <c r="AU7" s="272">
        <v>0</v>
      </c>
      <c r="AV7" s="272">
        <v>0</v>
      </c>
      <c r="AW7" s="272">
        <v>0</v>
      </c>
      <c r="AX7" s="272">
        <v>0</v>
      </c>
      <c r="AY7" s="272">
        <v>0</v>
      </c>
      <c r="AZ7" s="272">
        <v>0</v>
      </c>
      <c r="BA7" s="272">
        <v>0</v>
      </c>
      <c r="BB7" s="272">
        <v>0</v>
      </c>
      <c r="BC7" s="272">
        <v>0</v>
      </c>
      <c r="BD7" s="272">
        <v>0</v>
      </c>
      <c r="BE7" s="272">
        <v>0</v>
      </c>
      <c r="BF7" s="272">
        <v>0</v>
      </c>
      <c r="BG7" s="272">
        <v>0</v>
      </c>
      <c r="BH7" s="254"/>
      <c r="BI7" s="272">
        <v>0</v>
      </c>
      <c r="BJ7" s="272">
        <v>0</v>
      </c>
      <c r="BK7" s="272">
        <v>0</v>
      </c>
      <c r="BL7" s="272">
        <v>0</v>
      </c>
      <c r="BM7" s="272">
        <v>0</v>
      </c>
      <c r="BN7" s="272">
        <v>0</v>
      </c>
      <c r="BO7" s="272">
        <v>0</v>
      </c>
      <c r="BP7" s="272">
        <v>0</v>
      </c>
      <c r="BQ7" s="272">
        <v>0</v>
      </c>
      <c r="BR7" s="272">
        <v>0</v>
      </c>
      <c r="BS7" s="272">
        <v>0</v>
      </c>
      <c r="BT7" s="272">
        <v>0</v>
      </c>
      <c r="BU7" s="272">
        <v>0</v>
      </c>
      <c r="BV7" s="254"/>
      <c r="BW7" s="618">
        <f>+[14]A23!$B$58+[14]A23!$B$63</f>
        <v>85</v>
      </c>
      <c r="BX7" s="618">
        <f>+[15]A23!$B$58+[15]A23!$B$63</f>
        <v>43</v>
      </c>
      <c r="BY7" s="618">
        <f>+[16]A23!$B$58+[16]A23!$B$63</f>
        <v>103</v>
      </c>
      <c r="BZ7" s="618">
        <f>+[17]A23!$B$58+[17]A23!$B$63</f>
        <v>37</v>
      </c>
      <c r="CA7" s="618">
        <f>+[18]A23!$B$58+[18]A23!$B$63</f>
        <v>89</v>
      </c>
      <c r="CB7" s="618">
        <f>+[19]A23!$B$58+[19]A23!$B$63</f>
        <v>71</v>
      </c>
      <c r="CC7" s="618">
        <f>+[20]A23!$B$58+[20]A23!$B$63</f>
        <v>113</v>
      </c>
      <c r="CD7" s="618">
        <f>+[21]A23!$B$58+[21]A23!$B$63</f>
        <v>154</v>
      </c>
      <c r="CE7" s="618">
        <f>+[22]A23!$B$58+[22]A23!$B$63</f>
        <v>72</v>
      </c>
      <c r="CF7" s="618">
        <f>+[23]A23!$B$58+[23]A23!$B$63</f>
        <v>97</v>
      </c>
      <c r="CG7" s="618">
        <f>+[24]A23!$B$58+[24]A23!$B$63</f>
        <v>0</v>
      </c>
      <c r="CH7" s="618">
        <f>+[25]A23!$B$58+[25]A23!$B$63</f>
        <v>0</v>
      </c>
      <c r="CI7" s="272">
        <f t="shared" ref="CI7:CI12" si="4">SUM(BW7:CH7)</f>
        <v>864</v>
      </c>
      <c r="CJ7" s="254"/>
      <c r="CK7" s="608">
        <f>+[14]A32!$B$28+[14]A32!$C$134+[14]A32!$C$145</f>
        <v>0</v>
      </c>
      <c r="CL7" s="608">
        <f>+[15]A32!$B$28+[15]A32!$C$134+[15]A32!$C$145</f>
        <v>0</v>
      </c>
      <c r="CM7" s="608">
        <f>+[16]A32!$B$28+[16]A32!$C$134+[16]A32!$C$145</f>
        <v>0</v>
      </c>
      <c r="CN7" s="608">
        <f>+[17]A32!$B$28+[17]A32!$C$134+[17]A32!$C$145</f>
        <v>0</v>
      </c>
      <c r="CO7" s="608">
        <f>+[18]A32!$B$28+[18]A32!$C$134+[18]A32!$C$145</f>
        <v>0</v>
      </c>
      <c r="CP7" s="254">
        <v>0</v>
      </c>
      <c r="CQ7" s="254">
        <v>0</v>
      </c>
      <c r="CR7" s="254">
        <v>0</v>
      </c>
      <c r="CS7" s="254">
        <v>0</v>
      </c>
      <c r="CT7" s="254">
        <v>0</v>
      </c>
      <c r="CU7" s="254">
        <v>0</v>
      </c>
      <c r="CV7" s="254">
        <v>0</v>
      </c>
      <c r="CW7" s="260">
        <v>0</v>
      </c>
      <c r="CX7" s="254"/>
      <c r="CY7" s="259">
        <f t="shared" ref="CY7:CY12" si="5">+E7+S7+AG7+AU7+BI7+BW7+CK7</f>
        <v>1364</v>
      </c>
      <c r="CZ7" s="259">
        <f t="shared" si="0"/>
        <v>1424</v>
      </c>
      <c r="DA7" s="259">
        <f t="shared" si="0"/>
        <v>1484</v>
      </c>
      <c r="DB7" s="259">
        <f t="shared" si="0"/>
        <v>1650</v>
      </c>
      <c r="DC7" s="259">
        <f t="shared" si="0"/>
        <v>1943</v>
      </c>
      <c r="DD7" s="259">
        <f t="shared" si="0"/>
        <v>1683</v>
      </c>
      <c r="DE7" s="259">
        <f t="shared" si="0"/>
        <v>2587</v>
      </c>
      <c r="DF7" s="259">
        <f t="shared" si="0"/>
        <v>2425</v>
      </c>
      <c r="DG7" s="259">
        <f t="shared" si="0"/>
        <v>1854</v>
      </c>
      <c r="DH7" s="259">
        <f t="shared" si="0"/>
        <v>1698</v>
      </c>
      <c r="DI7" s="259">
        <f t="shared" si="0"/>
        <v>0</v>
      </c>
      <c r="DJ7" s="259">
        <f t="shared" si="0"/>
        <v>0</v>
      </c>
      <c r="DK7" s="465">
        <f t="shared" ref="DK7:DK12" si="6">SUM(CY7:DJ7)</f>
        <v>18112</v>
      </c>
      <c r="DL7" s="254"/>
      <c r="DM7" s="277">
        <f>SUM([14]A07!$AE$136,[14]A07!$AF$136)-SUM([14]A07!$AE$120,[14]A07!$AE$121,[14]A07!$AE$129,[14]A07!$AE$130,[14]A07!$AE$131,[14]A07!$AF$120,[14]A07!$AF$121,[14]A07!$AF$122,[14]A07!$AF$129,[14]A07!$AF$130,[14]A07!$AF$131)</f>
        <v>61</v>
      </c>
      <c r="DN7" s="277">
        <f>SUM([15]A07!$AE$136,[15]A07!$AF$136)-SUM([15]A07!$AE$120,[15]A07!$AE$121,[15]A07!$AE$129,[15]A07!$AE$130,[15]A07!$AE$131,[15]A07!$AF$120,[15]A07!$AF$121,[15]A07!$AF$122,[15]A07!$AF$129,[15]A07!$AF$130,[15]A07!$AF$131)</f>
        <v>42</v>
      </c>
      <c r="DO7" s="277">
        <f>SUM([16]A07!$AE$136,[16]A07!$AF$136)-SUM([16]A07!$AE$120,[16]A07!$AE$121,[16]A07!$AE$129,[16]A07!$AE$130,[16]A07!$AE$131,[16]A07!$AF$120,[16]A07!$AF$121,[16]A07!$AF$122,[16]A07!$AF$129,[16]A07!$AF$130,[16]A07!$AF$131)</f>
        <v>74</v>
      </c>
      <c r="DP7" s="277">
        <f>SUM([17]A07!$AE$136,[17]A07!$AF$136)-SUM([17]A07!$AE$120,[17]A07!$AE$121,[17]A07!$AE$129,[17]A07!$AE$130,[17]A07!$AE$131,[17]A07!$AF$120,[17]A07!$AF$121,[17]A07!$AF$122,[17]A07!$AF$129,[17]A07!$AF$130,[17]A07!$AF$131)</f>
        <v>100</v>
      </c>
      <c r="DQ7" s="277">
        <f>SUM([18]A07!$AE$136,[18]A07!$AF$136)-SUM([18]A07!$AE$120,[18]A07!$AE$121,[18]A07!$AE$129,[18]A07!$AE$130,[18]A07!$AE$131,[18]A07!$AF$120,[18]A07!$AF$121,[18]A07!$AF$122,[18]A07!$AF$129,[18]A07!$AF$130,[18]A07!$AF$131)</f>
        <v>127</v>
      </c>
      <c r="DR7" s="277">
        <f>SUM([19]A07!$AE$136,[19]A07!$AF$136)-SUM([19]A07!$AE$120,[19]A07!$AE$121,[19]A07!$AE$129,[19]A07!$AE$130,[19]A07!$AE$131,[19]A07!$AF$120,[19]A07!$AF$121,[19]A07!$AF$122,[19]A07!$AF$129,[19]A07!$AF$130,[19]A07!$AF$131)</f>
        <v>79</v>
      </c>
      <c r="DS7" s="277">
        <f>SUM([20]A07!$AE$136,[20]A07!$AF$136)-SUM([20]A07!$AE$120,[20]A07!$AE$121,[20]A07!$AE$129,[20]A07!$AE$130,[20]A07!$AE$131,[20]A07!$AF$120,[20]A07!$AF$121,[20]A07!$AF$122,[20]A07!$AF$129,[20]A07!$AF$130,[20]A07!$AF$131)</f>
        <v>119</v>
      </c>
      <c r="DT7" s="277">
        <f>SUM([21]A07!$AE$136,[21]A07!$AF$136)-SUM([21]A07!$AE$120,[21]A07!$AE$121,[21]A07!$AE$129,[21]A07!$AE$130,[21]A07!$AE$131,[21]A07!$AF$120,[21]A07!$AF$121,[21]A07!$AF$122,[21]A07!$AF$129,[21]A07!$AF$130,[21]A07!$AF$131)</f>
        <v>86</v>
      </c>
      <c r="DU7" s="277">
        <f>SUM([22]A07!$AE$136,[22]A07!$AF$136)-SUM([22]A07!$AE$120,[22]A07!$AE$121,[22]A07!$AE$129,[22]A07!$AE$130,[22]A07!$AE$131,[22]A07!$AF$120,[22]A07!$AF$121,[22]A07!$AF$122,[22]A07!$AF$129,[22]A07!$AF$130,[22]A07!$AF$131)</f>
        <v>65</v>
      </c>
      <c r="DV7" s="277">
        <f>SUM([23]A07!$AE$136,[23]A07!$AF$136)-SUM([23]A07!$AE$120,[23]A07!$AE$121,[23]A07!$AE$129,[23]A07!$AE$130,[23]A07!$AE$131,[23]A07!$AF$120,[23]A07!$AF$121,[23]A07!$AF$122,[23]A07!$AF$129,[23]A07!$AF$130,[23]A07!$AF$131)</f>
        <v>64</v>
      </c>
      <c r="DW7" s="277">
        <f>SUM([24]A07!$AE$136,[24]A07!$AF$136)-SUM([24]A07!$AE$120,[24]A07!$AE$121,[24]A07!$AE$129,[24]A07!$AE$130,[24]A07!$AE$131,[24]A07!$AF$120,[24]A07!$AF$121,[24]A07!$AF$122,[24]A07!$AF$129,[24]A07!$AF$130,[24]A07!$AF$131)</f>
        <v>0</v>
      </c>
      <c r="DX7" s="277">
        <f>SUM([25]A07!$AE$136,[25]A07!$AF$136)-SUM([25]A07!$AE$120,[25]A07!$AE$121,[25]A07!$AE$129,[25]A07!$AE$130,[25]A07!$AE$131,[25]A07!$AF$120,[25]A07!$AF$121,[25]A07!$AF$122,[25]A07!$AF$129,[25]A07!$AF$130,[25]A07!$AF$131)</f>
        <v>0</v>
      </c>
      <c r="DY7" s="465">
        <f t="shared" ref="DY7:DY12" si="7">SUM(DM7:DX7)</f>
        <v>817</v>
      </c>
      <c r="DZ7" s="254"/>
      <c r="EA7" s="277"/>
      <c r="EB7" s="432"/>
      <c r="EC7" s="254"/>
    </row>
    <row r="8" spans="2:215" s="256" customFormat="1" ht="12" x14ac:dyDescent="0.2">
      <c r="B8" s="148">
        <v>107353</v>
      </c>
      <c r="C8" s="149" t="s">
        <v>97</v>
      </c>
      <c r="E8" s="786">
        <f>+[26]A01!$C$11+[26]A01!$C$13+[26]A01!$C$15+[26]A01!$C$17+[26]A01!$C$19+[26]A01!$C$21+[26]A01!$C$23+[26]A01!$C$25+[26]A01!$C$27+[26]A01!$C$29+[26]A01!$C$31+[26]A01!$C$36+[26]A01!$C$44+[26]A01!$C$48+[26]A01!$C$51+[26]A01!$C$54+[26]A01!$C$57+[26]A01!$C$63</f>
        <v>281</v>
      </c>
      <c r="F8" s="618">
        <f>+[27]A01!$C$11+[27]A01!$C$13+[27]A01!$C$15+[27]A01!$C$17+[27]A01!$C$19+[27]A01!$C$21+[27]A01!$C$23+[27]A01!$C$25+[27]A01!$C$27+[27]A01!$C$29+[27]A01!$C$31+[27]A01!$C$36+[27]A01!$C$44+[27]A01!$C$48+[27]A01!$C$51+[27]A01!$C$54+[27]A01!$C$57+[27]A01!$C$63</f>
        <v>188</v>
      </c>
      <c r="G8" s="618">
        <f>+[28]A01!$C$11+[28]A01!$C$13+[28]A01!$C$15+[28]A01!$C$17+[28]A01!$C$19+[28]A01!$C$21+[28]A01!$C$23+[28]A01!$C$25+[28]A01!$C$27+[28]A01!$C$29+[28]A01!$C$31+[28]A01!$C$36+[28]A01!$C$44+[28]A01!$C$48+[28]A01!$C$51+[28]A01!$C$54+[28]A01!$C$57+[28]A01!$C$63</f>
        <v>236</v>
      </c>
      <c r="H8" s="618">
        <f>+[29]A01!$C$11+[29]A01!$C$13+[29]A01!$C$15+[29]A01!$C$17+[29]A01!$C$19+[29]A01!$C$21+[29]A01!$C$23+[29]A01!$C$25+[29]A01!$C$27+[29]A01!$C$29+[29]A01!$C$31+[29]A01!$C$36+[29]A01!$C$44+[29]A01!$C$48+[29]A01!$C$51+[29]A01!$C$54+[29]A01!$C$57+[29]A01!$C$63</f>
        <v>370</v>
      </c>
      <c r="I8" s="618">
        <f>+[30]A01!$C$11+[30]A01!$C$13+[30]A01!$C$15+[30]A01!$C$17+[30]A01!$C$19+[30]A01!$C$21+[30]A01!$C$23+[30]A01!$C$25+[30]A01!$C$27+[30]A01!$C$29+[30]A01!$C$31+[30]A01!$C$36+[30]A01!$C$44+[30]A01!$C$48+[30]A01!$C$51+[30]A01!$C$54+[30]A01!$C$57+[30]A01!$C$63</f>
        <v>352</v>
      </c>
      <c r="J8" s="618">
        <f>+[31]A01!$C$11+[31]A01!$C$13+[31]A01!$C$15+[31]A01!$C$17+[31]A01!$C$19+[31]A01!$C$21+[31]A01!$C$23+[31]A01!$C$25+[31]A01!$C$27+[31]A01!$C$29+[31]A01!$C$31+[31]A01!$C$36+[31]A01!$C$44+[31]A01!$C$48+[31]A01!$C$51+[31]A01!$C$54+[31]A01!$C$57+[31]A01!$C$63</f>
        <v>437</v>
      </c>
      <c r="K8" s="618">
        <f>+[32]A01!$C$11+[32]A01!$C$13+[32]A01!$C$15+[32]A01!$C$17+[32]A01!$C$19+[32]A01!$C$21+[32]A01!$C$23+[32]A01!$C$25+[32]A01!$C$27+[32]A01!$C$29+[32]A01!$C$31+[32]A01!$C$36+[32]A01!$C$44+[32]A01!$C$48+[32]A01!$C$51+[32]A01!$C$54+[32]A01!$C$57+[32]A01!$C$63</f>
        <v>375</v>
      </c>
      <c r="L8" s="618">
        <f>+[33]A01!$C$11+[33]A01!$C$13+[33]A01!$C$15+[33]A01!$C$17+[33]A01!$C$19+[33]A01!$C$21+[33]A01!$C$23+[33]A01!$C$25+[33]A01!$C$27+[33]A01!$C$29+[33]A01!$C$31+[33]A01!$C$36+[33]A01!$C$44+[33]A01!$C$48+[33]A01!$C$51+[33]A01!$C$54+[33]A01!$C$57+[33]A01!$C$63</f>
        <v>396</v>
      </c>
      <c r="M8" s="618">
        <f>+[34]A01!$C$11+[34]A01!$C$13+[34]A01!$C$15+[34]A01!$C$17+[34]A01!$C$19+[34]A01!$C$21+[34]A01!$C$23+[34]A01!$C$25+[34]A01!$C$27+[34]A01!$C$29+[34]A01!$C$31+[34]A01!$C$36+[34]A01!$C$44+[34]A01!$C$48+[34]A01!$C$51+[34]A01!$C$54+[34]A01!$C$57+[34]A01!$C$63</f>
        <v>312</v>
      </c>
      <c r="N8" s="618">
        <f>+[35]A01!$C$11+[35]A01!$C$13+[35]A01!$C$15+[35]A01!$C$17+[35]A01!$C$19+[35]A01!$C$21+[35]A01!$C$23+[35]A01!$C$25+[35]A01!$C$27+[35]A01!$C$29+[35]A01!$C$31+[35]A01!$C$36+[35]A01!$C$44+[35]A01!$C$48+[35]A01!$C$51+[35]A01!$C$54+[35]A01!$C$57+[35]A01!$C$63</f>
        <v>595</v>
      </c>
      <c r="O8" s="618">
        <f>+[36]A01!$C$11+[36]A01!$C$13+[36]A01!$C$15+[36]A01!$C$17+[36]A01!$C$19+[36]A01!$C$21+[36]A01!$C$23+[36]A01!$C$25+[36]A01!$C$27+[36]A01!$C$29+[36]A01!$C$31+[36]A01!$C$36+[36]A01!$C$44+[36]A01!$C$48+[36]A01!$C$51+[36]A01!$C$54+[36]A01!$C$57+[36]A01!$C$63</f>
        <v>0</v>
      </c>
      <c r="P8" s="618">
        <f>+[37]A01!$C$11+[37]A01!$C$13+[37]A01!$C$15+[37]A01!$C$17+[37]A01!$C$19+[37]A01!$C$21+[37]A01!$C$23+[37]A01!$C$25+[37]A01!$C$27+[37]A01!$C$29+[37]A01!$C$31+[37]A01!$C$36+[37]A01!$C$44+[37]A01!$C$48+[37]A01!$C$51+[37]A01!$C$54+[37]A01!$C$57+[37]A01!$C$63</f>
        <v>0</v>
      </c>
      <c r="Q8" s="790">
        <f t="shared" si="1"/>
        <v>3542</v>
      </c>
      <c r="R8" s="254"/>
      <c r="S8" s="618">
        <f>+[26]A04!$B$12</f>
        <v>713</v>
      </c>
      <c r="T8" s="618">
        <f>+[27]A04!$B$12</f>
        <v>2882</v>
      </c>
      <c r="U8" s="618">
        <f>+[28]A04!$B$12</f>
        <v>800</v>
      </c>
      <c r="V8" s="618">
        <f>+[29]A04!$B$12</f>
        <v>1088</v>
      </c>
      <c r="W8" s="618">
        <f>+[30]A04!$B$12</f>
        <v>1108</v>
      </c>
      <c r="X8" s="618">
        <f>+[31]A04!$B$12</f>
        <v>1511</v>
      </c>
      <c r="Y8" s="618">
        <f>+[32]A04!$B$12</f>
        <v>1440</v>
      </c>
      <c r="Z8" s="618">
        <f>+[33]A04!$B$12</f>
        <v>1189</v>
      </c>
      <c r="AA8" s="618">
        <f>+[34]A04!$B$12</f>
        <v>826</v>
      </c>
      <c r="AB8" s="618">
        <f>+[35]A04!$B$12</f>
        <v>1041</v>
      </c>
      <c r="AC8" s="618">
        <f>+[36]A04!$B$12</f>
        <v>0</v>
      </c>
      <c r="AD8" s="618">
        <f>+[37]A04!$B$12</f>
        <v>0</v>
      </c>
      <c r="AE8" s="272">
        <f t="shared" si="2"/>
        <v>12598</v>
      </c>
      <c r="AF8" s="254"/>
      <c r="AG8" s="618">
        <f>+[26]A06!$C$12</f>
        <v>54</v>
      </c>
      <c r="AH8" s="618">
        <f>+[27]A06!$C$12</f>
        <v>45</v>
      </c>
      <c r="AI8" s="618">
        <f>+[28]A06!$C$12</f>
        <v>62</v>
      </c>
      <c r="AJ8" s="618">
        <f>+[29]A06!$C$12</f>
        <v>72</v>
      </c>
      <c r="AK8" s="618">
        <f>+[30]A06!$C$12</f>
        <v>47</v>
      </c>
      <c r="AL8" s="618">
        <f>+[31]A06!$C$12</f>
        <v>0</v>
      </c>
      <c r="AM8" s="618">
        <f>+[32]A06!$C$12</f>
        <v>106</v>
      </c>
      <c r="AN8" s="618">
        <f>+[33]A06!$C$12</f>
        <v>83</v>
      </c>
      <c r="AO8" s="618">
        <f>+[34]A06!$C$12</f>
        <v>74</v>
      </c>
      <c r="AP8" s="618">
        <f>+[35]A06!$C$12</f>
        <v>74</v>
      </c>
      <c r="AQ8" s="618">
        <f>+[36]A06!$C$12</f>
        <v>0</v>
      </c>
      <c r="AR8" s="618">
        <f>+[37]A06!$C$12</f>
        <v>0</v>
      </c>
      <c r="AS8" s="272">
        <f t="shared" si="3"/>
        <v>617</v>
      </c>
      <c r="AT8" s="254"/>
      <c r="AU8" s="272">
        <v>0</v>
      </c>
      <c r="AV8" s="272">
        <v>0</v>
      </c>
      <c r="AW8" s="272">
        <v>0</v>
      </c>
      <c r="AX8" s="272">
        <v>0</v>
      </c>
      <c r="AY8" s="272">
        <v>0</v>
      </c>
      <c r="AZ8" s="272">
        <v>0</v>
      </c>
      <c r="BA8" s="272">
        <v>0</v>
      </c>
      <c r="BB8" s="272">
        <v>0</v>
      </c>
      <c r="BC8" s="272">
        <v>0</v>
      </c>
      <c r="BD8" s="272">
        <v>0</v>
      </c>
      <c r="BE8" s="272">
        <v>0</v>
      </c>
      <c r="BF8" s="272">
        <v>0</v>
      </c>
      <c r="BG8" s="272">
        <v>0</v>
      </c>
      <c r="BH8" s="254"/>
      <c r="BI8" s="272">
        <v>0</v>
      </c>
      <c r="BJ8" s="272">
        <v>0</v>
      </c>
      <c r="BK8" s="272">
        <v>0</v>
      </c>
      <c r="BL8" s="272">
        <v>0</v>
      </c>
      <c r="BM8" s="272">
        <v>0</v>
      </c>
      <c r="BN8" s="272">
        <v>0</v>
      </c>
      <c r="BO8" s="272">
        <v>0</v>
      </c>
      <c r="BP8" s="272">
        <v>0</v>
      </c>
      <c r="BQ8" s="272">
        <v>0</v>
      </c>
      <c r="BR8" s="272">
        <v>0</v>
      </c>
      <c r="BS8" s="272">
        <v>0</v>
      </c>
      <c r="BT8" s="272">
        <v>0</v>
      </c>
      <c r="BU8" s="272">
        <v>0</v>
      </c>
      <c r="BV8" s="254"/>
      <c r="BW8" s="618">
        <f>+[26]A23!$B$58+[26]A23!$B$63</f>
        <v>6</v>
      </c>
      <c r="BX8" s="618">
        <f>+[27]A23!$B$58+[27]A23!$B$63</f>
        <v>11</v>
      </c>
      <c r="BY8" s="618">
        <f>+[28]A23!$B$58+[28]A23!$B$63</f>
        <v>0</v>
      </c>
      <c r="BZ8" s="618">
        <f>+[29]A23!$B$58+[29]A23!$B$63</f>
        <v>25</v>
      </c>
      <c r="CA8" s="618">
        <f>+[30]A23!$B$58+[30]A23!$B$63</f>
        <v>22</v>
      </c>
      <c r="CB8" s="618">
        <f>+[31]A23!$B$58+[31]A23!$B$63</f>
        <v>34</v>
      </c>
      <c r="CC8" s="618">
        <f>+[32]A23!$B$58+[32]A23!$B$63</f>
        <v>31</v>
      </c>
      <c r="CD8" s="618">
        <f>+[33]A23!$B$58+[33]A23!$B$63</f>
        <v>25</v>
      </c>
      <c r="CE8" s="618">
        <f>+[34]A23!$B$58+[34]A23!$B$63</f>
        <v>0</v>
      </c>
      <c r="CF8" s="618">
        <f>+[35]A23!$B$58+[35]A23!$B$63</f>
        <v>28</v>
      </c>
      <c r="CG8" s="618">
        <f>+[36]A23!$B$58+[36]A23!$B$63</f>
        <v>0</v>
      </c>
      <c r="CH8" s="618">
        <f>+[37]A23!$B$58+[37]A23!$B$63</f>
        <v>0</v>
      </c>
      <c r="CI8" s="272">
        <f t="shared" si="4"/>
        <v>182</v>
      </c>
      <c r="CJ8" s="254"/>
      <c r="CK8" s="608">
        <f>+[26]A32!$B$28+[26]A32!$C$134+[26]A32!$C$145</f>
        <v>0</v>
      </c>
      <c r="CL8" s="608">
        <f>+[27]A32!$B$28+[27]A32!$C$134+[27]A32!$C$145</f>
        <v>0</v>
      </c>
      <c r="CM8" s="608">
        <f>+[28]A32!$B$28+[28]A32!$C$134+[28]A32!$C$145</f>
        <v>0</v>
      </c>
      <c r="CN8" s="608">
        <f>+[29]A32!$B$28+[29]A32!$C$134+[29]A32!$C$145</f>
        <v>0</v>
      </c>
      <c r="CO8" s="608">
        <f>+[30]A32!$B$28+[30]A32!$C$134+[30]A32!$C$145</f>
        <v>0</v>
      </c>
      <c r="CP8" s="254">
        <v>0</v>
      </c>
      <c r="CQ8" s="254">
        <v>0</v>
      </c>
      <c r="CR8" s="254">
        <v>0</v>
      </c>
      <c r="CS8" s="254">
        <v>0</v>
      </c>
      <c r="CT8" s="254">
        <v>0</v>
      </c>
      <c r="CU8" s="254">
        <v>0</v>
      </c>
      <c r="CV8" s="254">
        <v>0</v>
      </c>
      <c r="CW8" s="260">
        <v>0</v>
      </c>
      <c r="CX8" s="254"/>
      <c r="CY8" s="789">
        <f>+E8+S8+AG8+AU8+BI8+BW8+CK8</f>
        <v>1054</v>
      </c>
      <c r="CZ8" s="259">
        <f t="shared" si="0"/>
        <v>3126</v>
      </c>
      <c r="DA8" s="259">
        <f t="shared" si="0"/>
        <v>1098</v>
      </c>
      <c r="DB8" s="259">
        <f t="shared" si="0"/>
        <v>1555</v>
      </c>
      <c r="DC8" s="259">
        <f t="shared" si="0"/>
        <v>1529</v>
      </c>
      <c r="DD8" s="259">
        <f t="shared" si="0"/>
        <v>1982</v>
      </c>
      <c r="DE8" s="259">
        <f t="shared" si="0"/>
        <v>1952</v>
      </c>
      <c r="DF8" s="259">
        <f t="shared" si="0"/>
        <v>1693</v>
      </c>
      <c r="DG8" s="259">
        <f t="shared" si="0"/>
        <v>1212</v>
      </c>
      <c r="DH8" s="259">
        <f t="shared" si="0"/>
        <v>1738</v>
      </c>
      <c r="DI8" s="259">
        <f t="shared" si="0"/>
        <v>0</v>
      </c>
      <c r="DJ8" s="259">
        <f t="shared" si="0"/>
        <v>0</v>
      </c>
      <c r="DK8" s="465">
        <f t="shared" si="6"/>
        <v>16939</v>
      </c>
      <c r="DL8" s="254"/>
      <c r="DM8" s="277">
        <f>SUM([26]A07!$AE$136,[26]A07!$AF$136)-SUM([26]A07!$AE$120,[26]A07!$AE$121,[26]A07!$AE$129,[26]A07!$AE$130,[26]A07!$AE$131,[26]A07!$AF$120,[26]A07!$AF$121,[26]A07!$AF$122,[26]A07!$AF$129,[26]A07!$AF$130,[26]A07!$AF$131)</f>
        <v>130</v>
      </c>
      <c r="DN8" s="277">
        <f>SUM([27]A07!$AE$136,[27]A07!$AF$136)-SUM([27]A07!$AE$120,[27]A07!$AE$121,[27]A07!$AE$129,[27]A07!$AE$130,[27]A07!$AE$131,[27]A07!$AF$120,[27]A07!$AF$121,[27]A07!$AF$122,[27]A07!$AF$129,[27]A07!$AF$130,[27]A07!$AF$131)</f>
        <v>120</v>
      </c>
      <c r="DO8" s="277">
        <f>SUM([28]A07!$AE$136,[28]A07!$AF$136)-SUM([28]A07!$AE$120,[28]A07!$AE$121,[28]A07!$AE$129,[28]A07!$AE$130,[28]A07!$AE$131,[28]A07!$AF$120,[28]A07!$AF$121,[28]A07!$AF$122,[28]A07!$AF$129,[28]A07!$AF$130,[28]A07!$AF$131)</f>
        <v>217</v>
      </c>
      <c r="DP8" s="277">
        <f>SUM([29]A07!$AE$136,[29]A07!$AF$136)-SUM([29]A07!$AE$120,[29]A07!$AE$121,[29]A07!$AE$129,[29]A07!$AE$130,[29]A07!$AE$131,[29]A07!$AF$120,[29]A07!$AF$121,[29]A07!$AF$122,[29]A07!$AF$129,[29]A07!$AF$130,[29]A07!$AF$131)</f>
        <v>109</v>
      </c>
      <c r="DQ8" s="277">
        <f>SUM([30]A07!$AE$136,[30]A07!$AF$136)-SUM([30]A07!$AE$120,[30]A07!$AE$121,[30]A07!$AE$129,[30]A07!$AE$130,[30]A07!$AE$131,[30]A07!$AF$120,[30]A07!$AF$121,[30]A07!$AF$122,[30]A07!$AF$129,[30]A07!$AF$130,[30]A07!$AF$131)</f>
        <v>122</v>
      </c>
      <c r="DR8" s="277">
        <f>SUM([31]A07!$AE$136,[31]A07!$AF$136)-SUM([31]A07!$AE$120,[31]A07!$AE$121,[31]A07!$AE$129,[31]A07!$AE$130,[31]A07!$AE$131,[31]A07!$AF$120,[31]A07!$AF$121,[31]A07!$AF$122,[31]A07!$AF$129,[31]A07!$AF$130,[31]A07!$AF$131)</f>
        <v>417</v>
      </c>
      <c r="DS8" s="277">
        <f>SUM([32]A07!$AE$136,[32]A07!$AF$136)-SUM([32]A07!$AE$120,[32]A07!$AE$121,[32]A07!$AE$129,[32]A07!$AE$130,[32]A07!$AE$131,[32]A07!$AF$120,[32]A07!$AF$121,[32]A07!$AF$122,[32]A07!$AF$129,[32]A07!$AF$130,[32]A07!$AF$131)</f>
        <v>471</v>
      </c>
      <c r="DT8" s="277">
        <f>SUM([33]A07!$AE$136,[33]A07!$AF$136)-SUM([33]A07!$AE$120,[33]A07!$AE$121,[33]A07!$AE$129,[33]A07!$AE$130,[33]A07!$AE$131,[33]A07!$AF$120,[33]A07!$AF$121,[33]A07!$AF$122,[33]A07!$AF$129,[33]A07!$AF$130,[33]A07!$AF$131)</f>
        <v>13</v>
      </c>
      <c r="DU8" s="277">
        <f>SUM([34]A07!$AE$136,[34]A07!$AF$136)-SUM([34]A07!$AE$120,[34]A07!$AE$121,[34]A07!$AE$129,[34]A07!$AE$130,[34]A07!$AE$131,[34]A07!$AF$120,[34]A07!$AF$121,[34]A07!$AF$122,[34]A07!$AF$129,[34]A07!$AF$130,[34]A07!$AF$131)</f>
        <v>8</v>
      </c>
      <c r="DV8" s="277">
        <f>SUM([35]A07!$AE$136,[35]A07!$AF$136)-SUM([35]A07!$AE$120,[35]A07!$AE$121,[35]A07!$AE$129,[35]A07!$AE$130,[35]A07!$AE$131,[35]A07!$AF$120,[35]A07!$AF$121,[35]A07!$AF$122,[35]A07!$AF$129,[35]A07!$AF$130,[35]A07!$AF$131)</f>
        <v>16</v>
      </c>
      <c r="DW8" s="277">
        <f>SUM([36]A07!$AE$136,[36]A07!$AF$136)-SUM([36]A07!$AE$120,[36]A07!$AE$121,[36]A07!$AE$129,[36]A07!$AE$130,[36]A07!$AE$131,[36]A07!$AF$120,[36]A07!$AF$121,[36]A07!$AF$122,[36]A07!$AF$129,[36]A07!$AF$130,[36]A07!$AF$131)</f>
        <v>0</v>
      </c>
      <c r="DX8" s="277">
        <f>SUM([37]A07!$AE$136,[37]A07!$AF$136)-SUM([37]A07!$AE$120,[37]A07!$AE$121,[37]A07!$AE$129,[37]A07!$AE$130,[37]A07!$AE$131,[37]A07!$AF$120,[37]A07!$AF$121,[37]A07!$AF$122,[37]A07!$AF$129,[37]A07!$AF$130,[37]A07!$AF$131)</f>
        <v>0</v>
      </c>
      <c r="DY8" s="465">
        <f t="shared" si="7"/>
        <v>1623</v>
      </c>
      <c r="DZ8" s="254"/>
      <c r="EA8" s="277"/>
      <c r="EB8" s="254"/>
      <c r="EC8" s="254"/>
    </row>
    <row r="9" spans="2:215" s="256" customFormat="1" ht="12" x14ac:dyDescent="0.2">
      <c r="B9" s="148">
        <v>107356</v>
      </c>
      <c r="C9" s="149" t="s">
        <v>98</v>
      </c>
      <c r="E9" s="618">
        <f>+[38]A01!$C$11+[38]A01!$C$13+[38]A01!$C$15+[38]A01!$C$17+[38]A01!$C$19+[38]A01!$C$21+[38]A01!$C$23+[38]A01!$C$25+[38]A01!$C$27+[38]A01!$C$29+[38]A01!$C$31+[38]A01!$C$36+[38]A01!$C$44+[38]A01!$C$48+[38]A01!$C$51+[38]A01!$C$54+[38]A01!$C$57+[38]A01!$C$63</f>
        <v>585</v>
      </c>
      <c r="F9" s="618">
        <f>+[39]A01!$C$11+[39]A01!$C$13+[39]A01!$C$15+[39]A01!$C$17+[39]A01!$C$19+[39]A01!$C$21+[39]A01!$C$23+[39]A01!$C$25+[39]A01!$C$27+[39]A01!$C$29+[39]A01!$C$31+[39]A01!$C$36+[39]A01!$C$44+[39]A01!$C$48+[39]A01!$C$51+[39]A01!$C$54+[39]A01!$C$57+[39]A01!$C$63</f>
        <v>260</v>
      </c>
      <c r="G9" s="618">
        <f>+[40]A01!$C$11+[40]A01!$C$13+[40]A01!$C$15+[40]A01!$C$17+[40]A01!$C$19+[40]A01!$C$21+[40]A01!$C$23+[40]A01!$C$25+[40]A01!$C$27+[40]A01!$C$29+[40]A01!$C$31+[40]A01!$C$36+[40]A01!$C$44+[40]A01!$C$48+[40]A01!$C$51+[40]A01!$C$54+[40]A01!$C$57+[40]A01!$C$63</f>
        <v>285</v>
      </c>
      <c r="H9" s="618">
        <f>+[41]A01!$C$11+[41]A01!$C$13+[41]A01!$C$15+[41]A01!$C$17+[41]A01!$C$19+[41]A01!$C$21+[41]A01!$C$23+[41]A01!$C$25+[41]A01!$C$27+[41]A01!$C$29+[41]A01!$C$31+[41]A01!$C$36+[41]A01!$C$44+[41]A01!$C$48+[41]A01!$C$51+[41]A01!$C$54+[41]A01!$C$57+[41]A01!$C$63</f>
        <v>462</v>
      </c>
      <c r="I9" s="618">
        <f>+[42]A01!$C$11+[42]A01!$C$13+[42]A01!$C$15+[42]A01!$C$17+[42]A01!$C$19+[42]A01!$C$21+[42]A01!$C$23+[42]A01!$C$25+[42]A01!$C$27+[42]A01!$C$29+[42]A01!$C$31+[42]A01!$C$36+[42]A01!$C$44+[42]A01!$C$48+[42]A01!$C$51+[42]A01!$C$54+[42]A01!$C$57+[42]A01!$C$63</f>
        <v>631</v>
      </c>
      <c r="J9" s="618">
        <f>+[43]A01!$C$11+[43]A01!$C$13+[43]A01!$C$15+[43]A01!$C$17+[43]A01!$C$19+[43]A01!$C$21+[43]A01!$C$23+[43]A01!$C$25+[43]A01!$C$27+[43]A01!$C$29+[43]A01!$C$31+[43]A01!$C$36+[43]A01!$C$44+[43]A01!$C$48+[43]A01!$C$51+[43]A01!$C$54+[43]A01!$C$57+[43]A01!$C$63</f>
        <v>398</v>
      </c>
      <c r="K9" s="618">
        <f>+[44]A01!$C$11+[44]A01!$C$13+[44]A01!$C$15+[44]A01!$C$17+[44]A01!$C$19+[44]A01!$C$21+[44]A01!$C$23+[44]A01!$C$25+[44]A01!$C$27+[44]A01!$C$29+[44]A01!$C$31+[44]A01!$C$36+[44]A01!$C$44+[44]A01!$C$48+[44]A01!$C$51+[44]A01!$C$54+[44]A01!$C$57+[44]A01!$C$63</f>
        <v>444</v>
      </c>
      <c r="L9" s="618">
        <f>+[45]A01!$C$11+[45]A01!$C$13+[45]A01!$C$15+[45]A01!$C$17+[45]A01!$C$19+[45]A01!$C$21+[45]A01!$C$23+[45]A01!$C$25+[45]A01!$C$27+[45]A01!$C$29+[45]A01!$C$31+[45]A01!$C$36+[45]A01!$C$44+[45]A01!$C$48+[45]A01!$C$51+[45]A01!$C$54+[45]A01!$C$57+[45]A01!$C$63</f>
        <v>527</v>
      </c>
      <c r="M9" s="618">
        <f>+[46]A01!$C$11+[46]A01!$C$13+[46]A01!$C$15+[46]A01!$C$17+[46]A01!$C$19+[46]A01!$C$21+[46]A01!$C$23+[46]A01!$C$25+[46]A01!$C$27+[46]A01!$C$29+[46]A01!$C$31+[46]A01!$C$36+[46]A01!$C$44+[46]A01!$C$48+[46]A01!$C$51+[46]A01!$C$54+[46]A01!$C$57+[46]A01!$C$63</f>
        <v>435</v>
      </c>
      <c r="N9" s="618">
        <f>+[47]A01!$C$11+[47]A01!$C$13+[47]A01!$C$15+[47]A01!$C$17+[47]A01!$C$19+[47]A01!$C$21+[47]A01!$C$23+[47]A01!$C$25+[47]A01!$C$27+[47]A01!$C$29+[47]A01!$C$31+[47]A01!$C$36+[47]A01!$C$44+[47]A01!$C$48+[47]A01!$C$51+[47]A01!$C$54+[47]A01!$C$57+[47]A01!$C$63</f>
        <v>451</v>
      </c>
      <c r="O9" s="618">
        <f>+[48]A01!$C$11+[48]A01!$C$13+[48]A01!$C$15+[48]A01!$C$17+[48]A01!$C$19+[48]A01!$C$21+[48]A01!$C$23+[48]A01!$C$25+[48]A01!$C$27+[48]A01!$C$29+[48]A01!$C$31+[48]A01!$C$36+[48]A01!$C$44+[48]A01!$C$48+[48]A01!$C$51+[48]A01!$C$54+[48]A01!$C$57+[48]A01!$C$63</f>
        <v>0</v>
      </c>
      <c r="P9" s="618">
        <f>+[49]A01!$C$11+[49]A01!$C$13+[49]A01!$C$15+[49]A01!$C$17+[49]A01!$C$19+[49]A01!$C$21+[49]A01!$C$23+[49]A01!$C$25+[49]A01!$C$27+[49]A01!$C$29+[49]A01!$C$31+[49]A01!$C$36+[49]A01!$C$44+[49]A01!$C$48+[49]A01!$C$51+[49]A01!$C$54+[49]A01!$C$57+[49]A01!$C$63</f>
        <v>0</v>
      </c>
      <c r="Q9" s="272">
        <f>SUM(E9:P9)</f>
        <v>4478</v>
      </c>
      <c r="R9" s="254"/>
      <c r="S9" s="618">
        <f>+[38]A04!$B$12</f>
        <v>1773</v>
      </c>
      <c r="T9" s="618">
        <f>+[39]A04!$B$12</f>
        <v>421</v>
      </c>
      <c r="U9" s="618">
        <f>+[40]A04!$B$12</f>
        <v>988</v>
      </c>
      <c r="V9" s="618">
        <f>+[41]A04!$B$12</f>
        <v>885</v>
      </c>
      <c r="W9" s="618">
        <f>+[42]A04!$B$12</f>
        <v>869</v>
      </c>
      <c r="X9" s="618">
        <f>+[43]A04!$B$12</f>
        <v>1034</v>
      </c>
      <c r="Y9" s="618">
        <f>+[44]A04!$B$12</f>
        <v>1098</v>
      </c>
      <c r="Z9" s="618">
        <f>+[45]A04!$B$12</f>
        <v>898</v>
      </c>
      <c r="AA9" s="618">
        <f>+[46]A04!$B$12</f>
        <v>1348</v>
      </c>
      <c r="AB9" s="618">
        <f>+[47]A04!$B$12</f>
        <v>971</v>
      </c>
      <c r="AC9" s="618">
        <f>+[48]A04!$B$12</f>
        <v>0</v>
      </c>
      <c r="AD9" s="618">
        <f>+[49]A04!$B$12</f>
        <v>0</v>
      </c>
      <c r="AE9" s="272">
        <f t="shared" si="2"/>
        <v>10285</v>
      </c>
      <c r="AF9" s="254"/>
      <c r="AG9" s="618">
        <f>+[38]A06!$C$12</f>
        <v>120</v>
      </c>
      <c r="AH9" s="618">
        <f>+[39]A06!$C$12</f>
        <v>78</v>
      </c>
      <c r="AI9" s="618">
        <f>+[40]A06!$C$12</f>
        <v>83</v>
      </c>
      <c r="AJ9" s="618">
        <f>+[41]A06!$C$12</f>
        <v>90</v>
      </c>
      <c r="AK9" s="618">
        <f>+[42]A06!$C$12</f>
        <v>92</v>
      </c>
      <c r="AL9" s="618">
        <f>+[43]A06!$C$12</f>
        <v>113</v>
      </c>
      <c r="AM9" s="618">
        <f>+[44]A06!$C$12</f>
        <v>149</v>
      </c>
      <c r="AN9" s="618">
        <f>+[45]A06!$C$12</f>
        <v>166</v>
      </c>
      <c r="AO9" s="618">
        <f>+[46]A06!$C$12</f>
        <v>132</v>
      </c>
      <c r="AP9" s="618">
        <f>+[47]A06!$C$12</f>
        <v>172</v>
      </c>
      <c r="AQ9" s="618">
        <f>+[48]A06!$C$12</f>
        <v>0</v>
      </c>
      <c r="AR9" s="618">
        <f>+[49]A06!$C$12</f>
        <v>0</v>
      </c>
      <c r="AS9" s="272">
        <f t="shared" si="3"/>
        <v>1195</v>
      </c>
      <c r="AT9" s="254"/>
      <c r="AU9" s="272">
        <v>0</v>
      </c>
      <c r="AV9" s="272">
        <v>0</v>
      </c>
      <c r="AW9" s="272">
        <v>0</v>
      </c>
      <c r="AX9" s="272">
        <v>0</v>
      </c>
      <c r="AY9" s="272">
        <v>0</v>
      </c>
      <c r="AZ9" s="272">
        <v>0</v>
      </c>
      <c r="BA9" s="272">
        <v>0</v>
      </c>
      <c r="BB9" s="272">
        <v>0</v>
      </c>
      <c r="BC9" s="272">
        <v>0</v>
      </c>
      <c r="BD9" s="272">
        <v>0</v>
      </c>
      <c r="BE9" s="272">
        <v>0</v>
      </c>
      <c r="BF9" s="272">
        <v>0</v>
      </c>
      <c r="BG9" s="272">
        <v>0</v>
      </c>
      <c r="BH9" s="254"/>
      <c r="BI9" s="272">
        <v>0</v>
      </c>
      <c r="BJ9" s="272">
        <v>0</v>
      </c>
      <c r="BK9" s="272">
        <v>0</v>
      </c>
      <c r="BL9" s="272">
        <v>0</v>
      </c>
      <c r="BM9" s="272">
        <v>0</v>
      </c>
      <c r="BN9" s="272">
        <v>0</v>
      </c>
      <c r="BO9" s="272">
        <v>0</v>
      </c>
      <c r="BP9" s="272">
        <v>0</v>
      </c>
      <c r="BQ9" s="272">
        <v>0</v>
      </c>
      <c r="BR9" s="272">
        <v>0</v>
      </c>
      <c r="BS9" s="272">
        <v>0</v>
      </c>
      <c r="BT9" s="272">
        <v>0</v>
      </c>
      <c r="BU9" s="272">
        <v>0</v>
      </c>
      <c r="BV9" s="254"/>
      <c r="BW9" s="618">
        <f>+[38]A23!$B$58+[38]A23!$B$63</f>
        <v>0</v>
      </c>
      <c r="BX9" s="618">
        <f>+[39]A23!$B$58+[39]A23!$B$63</f>
        <v>10</v>
      </c>
      <c r="BY9" s="618">
        <f>+[40]A23!$B$58+[40]A23!$B$63</f>
        <v>0</v>
      </c>
      <c r="BZ9" s="618">
        <f>+[41]A23!$B$58+[41]A23!$B$63</f>
        <v>17</v>
      </c>
      <c r="CA9" s="618">
        <f>+[42]A23!$B$58+[42]A23!$B$63</f>
        <v>14</v>
      </c>
      <c r="CB9" s="618">
        <f>+[43]A23!$B$58+[43]A23!$B$63</f>
        <v>11</v>
      </c>
      <c r="CC9" s="618">
        <f>+[44]A23!$B$58+[44]A23!$B$63</f>
        <v>25</v>
      </c>
      <c r="CD9" s="618">
        <f>+[45]A23!$B$58+[45]A23!$B$63</f>
        <v>19</v>
      </c>
      <c r="CE9" s="618">
        <f>+[46]A23!$B$58+[46]A23!$B$63</f>
        <v>24</v>
      </c>
      <c r="CF9" s="618">
        <f>+[47]A23!$B$58+[47]A23!$B$63</f>
        <v>24</v>
      </c>
      <c r="CG9" s="618">
        <f>+[48]A23!$B$58+[48]A23!$B$63</f>
        <v>0</v>
      </c>
      <c r="CH9" s="618">
        <f>+[49]A23!$B$58+[49]A23!$B$63</f>
        <v>0</v>
      </c>
      <c r="CI9" s="272">
        <f t="shared" si="4"/>
        <v>144</v>
      </c>
      <c r="CJ9" s="254"/>
      <c r="CK9" s="608">
        <f>+[38]A32!$B$28+[38]A32!$C$134+[38]A32!$C$145</f>
        <v>0</v>
      </c>
      <c r="CL9" s="608">
        <f>+[39]A32!$B$28+[39]A32!$C$134+[39]A32!$C$145</f>
        <v>0</v>
      </c>
      <c r="CM9" s="608">
        <f>+[40]A32!$B$28+[40]A32!$C$134+[40]A32!$C$145</f>
        <v>0</v>
      </c>
      <c r="CN9" s="608">
        <f>+[41]A32!$B$28+[41]A32!$C$134+[41]A32!$C$145</f>
        <v>0</v>
      </c>
      <c r="CO9" s="608">
        <f>+[42]A32!$B$28+[42]A32!$C$134+[42]A32!$C$145</f>
        <v>0</v>
      </c>
      <c r="CP9" s="254">
        <v>0</v>
      </c>
      <c r="CQ9" s="254">
        <v>0</v>
      </c>
      <c r="CR9" s="254">
        <v>0</v>
      </c>
      <c r="CS9" s="254">
        <v>0</v>
      </c>
      <c r="CT9" s="254">
        <v>0</v>
      </c>
      <c r="CU9" s="254">
        <v>0</v>
      </c>
      <c r="CV9" s="254">
        <v>0</v>
      </c>
      <c r="CW9" s="260">
        <v>0</v>
      </c>
      <c r="CX9" s="254"/>
      <c r="CY9" s="259">
        <f t="shared" si="5"/>
        <v>2478</v>
      </c>
      <c r="CZ9" s="259">
        <f t="shared" si="0"/>
        <v>769</v>
      </c>
      <c r="DA9" s="259">
        <f t="shared" si="0"/>
        <v>1356</v>
      </c>
      <c r="DB9" s="259">
        <f t="shared" si="0"/>
        <v>1454</v>
      </c>
      <c r="DC9" s="259">
        <f t="shared" si="0"/>
        <v>1606</v>
      </c>
      <c r="DD9" s="259">
        <f t="shared" si="0"/>
        <v>1556</v>
      </c>
      <c r="DE9" s="259">
        <f t="shared" si="0"/>
        <v>1716</v>
      </c>
      <c r="DF9" s="259">
        <f t="shared" si="0"/>
        <v>1610</v>
      </c>
      <c r="DG9" s="259">
        <f t="shared" si="0"/>
        <v>1939</v>
      </c>
      <c r="DH9" s="259">
        <f t="shared" si="0"/>
        <v>1618</v>
      </c>
      <c r="DI9" s="259">
        <f t="shared" si="0"/>
        <v>0</v>
      </c>
      <c r="DJ9" s="259">
        <f t="shared" si="0"/>
        <v>0</v>
      </c>
      <c r="DK9" s="465">
        <f>SUM(CY9:DJ9)</f>
        <v>16102</v>
      </c>
      <c r="DL9" s="254"/>
      <c r="DM9" s="277">
        <f>SUM([38]A07!$AE$136,[38]A07!$AF$136)-SUM([38]A07!$AE$120,[38]A07!$AE$121,[38]A07!$AE$129,[38]A07!$AE$130,[38]A07!$AE$131,[38]A07!$AF$120,[38]A07!$AF$121,[38]A07!$AF$122,[38]A07!$AF$129,[38]A07!$AF$130,[38]A07!$AF$131)</f>
        <v>179</v>
      </c>
      <c r="DN9" s="277">
        <f>SUM([39]A07!$AE$136,[39]A07!$AF$136)-SUM([39]A07!$AE$120,[39]A07!$AE$121,[39]A07!$AE$129,[39]A07!$AE$130,[39]A07!$AE$131,[39]A07!$AF$120,[39]A07!$AF$121,[39]A07!$AF$122,[39]A07!$AF$129,[39]A07!$AF$130,[39]A07!$AF$131)</f>
        <v>164</v>
      </c>
      <c r="DO9" s="277">
        <f>SUM([40]A07!$AE$136,[40]A07!$AF$136)-SUM([40]A07!$AE$120,[40]A07!$AE$121,[40]A07!$AE$129,[40]A07!$AE$130,[40]A07!$AE$131,[40]A07!$AF$120,[40]A07!$AF$121,[40]A07!$AF$122,[40]A07!$AF$129,[40]A07!$AF$130,[40]A07!$AF$131)</f>
        <v>121</v>
      </c>
      <c r="DP9" s="277">
        <f>SUM([41]A07!$AE$136,[41]A07!$AF$136)-SUM([41]A07!$AE$120,[41]A07!$AE$121,[41]A07!$AE$129,[41]A07!$AE$130,[41]A07!$AE$131,[41]A07!$AF$120,[41]A07!$AF$121,[41]A07!$AF$122,[41]A07!$AF$129,[41]A07!$AF$130,[41]A07!$AF$131)</f>
        <v>135</v>
      </c>
      <c r="DQ9" s="277">
        <f>SUM([42]A07!$AE$136,[42]A07!$AF$136)-SUM([42]A07!$AE$120,[42]A07!$AE$121,[42]A07!$AE$129,[42]A07!$AE$130,[42]A07!$AE$131,[42]A07!$AF$120,[42]A07!$AF$121,[42]A07!$AF$122,[42]A07!$AF$129,[42]A07!$AF$130,[42]A07!$AF$131)</f>
        <v>107</v>
      </c>
      <c r="DR9" s="277">
        <f>SUM([43]A07!$AE$136,[43]A07!$AF$136)-SUM([43]A07!$AE$120,[43]A07!$AE$121,[43]A07!$AE$129,[43]A07!$AE$130,[43]A07!$AE$131,[43]A07!$AF$120,[43]A07!$AF$121,[43]A07!$AF$122,[43]A07!$AF$129,[43]A07!$AF$130,[43]A07!$AF$131)</f>
        <v>125</v>
      </c>
      <c r="DS9" s="277">
        <f>SUM([44]A07!$AE$136,[44]A07!$AF$136)-SUM([44]A07!$AE$120,[44]A07!$AE$121,[44]A07!$AE$129,[44]A07!$AE$130,[44]A07!$AE$131,[44]A07!$AF$120,[44]A07!$AF$121,[44]A07!$AF$122,[44]A07!$AF$129,[44]A07!$AF$130,[44]A07!$AF$131)</f>
        <v>29</v>
      </c>
      <c r="DT9" s="277">
        <f>SUM([45]A07!$AE$136,[45]A07!$AF$136)-SUM([45]A07!$AE$120,[45]A07!$AE$121,[45]A07!$AE$129,[45]A07!$AE$130,[45]A07!$AE$131,[45]A07!$AF$120,[45]A07!$AF$121,[45]A07!$AF$122,[45]A07!$AF$129,[45]A07!$AF$130,[45]A07!$AF$131)</f>
        <v>134</v>
      </c>
      <c r="DU9" s="277">
        <f>SUM([46]A07!$AE$136,[46]A07!$AF$136)-SUM([46]A07!$AE$120,[46]A07!$AE$121,[46]A07!$AE$129,[46]A07!$AE$130,[46]A07!$AE$131,[46]A07!$AF$120,[46]A07!$AF$121,[46]A07!$AF$122,[46]A07!$AF$129,[46]A07!$AF$130,[46]A07!$AF$131)</f>
        <v>75</v>
      </c>
      <c r="DV9" s="277">
        <f>SUM([47]A07!$AE$136,[47]A07!$AF$136)-SUM([47]A07!$AE$120,[47]A07!$AE$121,[47]A07!$AE$129,[47]A07!$AE$130,[47]A07!$AE$131,[47]A07!$AF$120,[47]A07!$AF$121,[47]A07!$AF$122,[47]A07!$AF$129,[47]A07!$AF$130,[47]A07!$AF$131)</f>
        <v>162</v>
      </c>
      <c r="DW9" s="277">
        <f>SUM([48]A07!$AE$136,[48]A07!$AF$136)-SUM([48]A07!$AE$120,[48]A07!$AE$121,[48]A07!$AE$129,[48]A07!$AE$130,[48]A07!$AE$131,[48]A07!$AF$120,[48]A07!$AF$121,[48]A07!$AF$122,[48]A07!$AF$129,[48]A07!$AF$130,[48]A07!$AF$131)</f>
        <v>0</v>
      </c>
      <c r="DX9" s="277">
        <f>SUM([49]A07!$AE$136,[49]A07!$AF$136)-SUM([49]A07!$AE$120,[49]A07!$AE$121,[49]A07!$AE$129,[49]A07!$AE$130,[49]A07!$AE$131,[49]A07!$AF$120,[49]A07!$AF$121,[49]A07!$AF$122,[49]A07!$AF$129,[49]A07!$AF$130,[49]A07!$AF$131)</f>
        <v>0</v>
      </c>
      <c r="DY9" s="465">
        <f t="shared" si="7"/>
        <v>1231</v>
      </c>
      <c r="DZ9" s="254"/>
      <c r="EA9" s="277"/>
      <c r="EB9" s="254"/>
      <c r="EC9" s="254"/>
    </row>
    <row r="10" spans="2:215" s="256" customFormat="1" ht="12" x14ac:dyDescent="0.2">
      <c r="B10" s="148">
        <v>107357</v>
      </c>
      <c r="C10" s="149" t="s">
        <v>99</v>
      </c>
      <c r="E10" s="786">
        <f>+[50]A01!$C$11+[50]A01!$C$13+[50]A01!$C$15+[50]A01!$C$17+[50]A01!$C$19+[50]A01!$C$21+[50]A01!$C$23+[50]A01!$C$25+[50]A01!$C$27+[50]A01!$C$29+[50]A01!$C$31+[50]A01!$C$36+[50]A01!$C$44+[50]A01!$C$48+[50]A01!$C$51+[50]A01!$C$54+[50]A01!$C$57+[50]A01!$C$63</f>
        <v>164</v>
      </c>
      <c r="F10" s="618">
        <f>+[51]A01!$C$11+[51]A01!$C$13+[51]A01!$C$15+[51]A01!$C$17+[51]A01!$C$19+[51]A01!$C$21+[51]A01!$C$23+[51]A01!$C$25+[51]A01!$C$27+[51]A01!$C$29+[51]A01!$C$31+[51]A01!$C$36+[51]A01!$C$44+[51]A01!$C$48+[51]A01!$C$51+[51]A01!$C$54+[51]A01!$C$57+[51]A01!$C$63</f>
        <v>210</v>
      </c>
      <c r="G10" s="618">
        <f>+[52]A01!$C$11+[52]A01!$C$13+[52]A01!$C$15+[52]A01!$C$17+[52]A01!$C$19+[52]A01!$C$21+[52]A01!$C$23+[52]A01!$C$25+[52]A01!$C$27+[52]A01!$C$29+[52]A01!$C$31+[52]A01!$C$36+[52]A01!$C$44+[52]A01!$C$48+[52]A01!$C$51+[52]A01!$C$54+[52]A01!$C$57+[52]A01!$C$63</f>
        <v>348</v>
      </c>
      <c r="H10" s="618">
        <f>+[53]A01!$C$11+[53]A01!$C$13+[53]A01!$C$15+[53]A01!$C$17+[53]A01!$C$19+[53]A01!$C$21+[53]A01!$C$23+[53]A01!$C$25+[53]A01!$C$27+[53]A01!$C$29+[53]A01!$C$31+[53]A01!$C$36+[53]A01!$C$44+[53]A01!$C$48+[53]A01!$C$51+[53]A01!$C$54+[53]A01!$C$57+[53]A01!$C$63</f>
        <v>241</v>
      </c>
      <c r="I10" s="618">
        <f>+[54]A01!$C$11+[54]A01!$C$13+[54]A01!$C$15+[54]A01!$C$17+[54]A01!$C$19+[54]A01!$C$21+[54]A01!$C$23+[54]A01!$C$25+[54]A01!$C$27+[54]A01!$C$29+[54]A01!$C$31+[54]A01!$C$36+[54]A01!$C$44+[54]A01!$C$48+[54]A01!$C$51+[54]A01!$C$54+[54]A01!$C$57+[54]A01!$C$63</f>
        <v>213</v>
      </c>
      <c r="J10" s="618">
        <f>+[55]A01!$C$11+[55]A01!$C$13+[55]A01!$C$15+[55]A01!$C$17+[55]A01!$C$19+[55]A01!$C$21+[55]A01!$C$23+[55]A01!$C$25+[55]A01!$C$27+[55]A01!$C$29+[55]A01!$C$31+[55]A01!$C$36+[55]A01!$C$44+[55]A01!$C$48+[55]A01!$C$51+[55]A01!$C$54+[55]A01!$C$57+[55]A01!$C$63</f>
        <v>79</v>
      </c>
      <c r="K10" s="618">
        <f>+[56]A01!$C$11+[56]A01!$C$13+[56]A01!$C$15+[56]A01!$C$17+[56]A01!$C$19+[56]A01!$C$21+[56]A01!$C$23+[56]A01!$C$25+[56]A01!$C$27+[56]A01!$C$29+[56]A01!$C$31+[56]A01!$C$36+[56]A01!$C$44+[56]A01!$C$48+[56]A01!$C$51+[56]A01!$C$54+[56]A01!$C$57+[56]A01!$C$63</f>
        <v>222</v>
      </c>
      <c r="L10" s="618">
        <f>+[57]A01!$C$11+[57]A01!$C$13+[57]A01!$C$15+[57]A01!$C$17+[57]A01!$C$19+[57]A01!$C$21+[57]A01!$C$23+[57]A01!$C$25+[57]A01!$C$27+[57]A01!$C$29+[57]A01!$C$31+[57]A01!$C$36+[57]A01!$C$44+[57]A01!$C$48+[57]A01!$C$51+[57]A01!$C$54+[57]A01!$C$57+[57]A01!$C$63</f>
        <v>280</v>
      </c>
      <c r="M10" s="618">
        <f>+[58]A01!$C$11+[58]A01!$C$13+[58]A01!$C$15+[58]A01!$C$17+[58]A01!$C$19+[58]A01!$C$21+[58]A01!$C$23+[58]A01!$C$25+[58]A01!$C$27+[58]A01!$C$29+[58]A01!$C$31+[58]A01!$C$36+[58]A01!$C$44+[58]A01!$C$48+[58]A01!$C$51+[58]A01!$C$54+[58]A01!$C$57+[58]A01!$C$63</f>
        <v>277</v>
      </c>
      <c r="N10" s="618">
        <f>+[59]A01!$C$11+[59]A01!$C$13+[59]A01!$C$15+[59]A01!$C$17+[59]A01!$C$19+[59]A01!$C$21+[59]A01!$C$23+[59]A01!$C$25+[59]A01!$C$27+[59]A01!$C$29+[59]A01!$C$31+[59]A01!$C$36+[59]A01!$C$44+[59]A01!$C$48+[59]A01!$C$51+[59]A01!$C$54+[59]A01!$C$57+[59]A01!$C$63</f>
        <v>317</v>
      </c>
      <c r="O10" s="618">
        <f>+[60]A01!$C$11+[60]A01!$C$13+[60]A01!$C$15+[60]A01!$C$17+[60]A01!$C$19+[60]A01!$C$21+[60]A01!$C$23+[60]A01!$C$25+[60]A01!$C$27+[60]A01!$C$29+[60]A01!$C$31+[60]A01!$C$36+[60]A01!$C$44+[60]A01!$C$48+[60]A01!$C$51+[60]A01!$C$54+[60]A01!$C$57+[60]A01!$C$63</f>
        <v>0</v>
      </c>
      <c r="P10" s="618">
        <f>+[61]A01!$C$11+[61]A01!$C$13+[61]A01!$C$15+[61]A01!$C$17+[61]A01!$C$19+[61]A01!$C$21+[61]A01!$C$23+[61]A01!$C$25+[61]A01!$C$27+[61]A01!$C$29+[61]A01!$C$31+[61]A01!$C$36+[61]A01!$C$44+[61]A01!$C$48+[61]A01!$C$51+[61]A01!$C$54+[61]A01!$C$57+[61]A01!$C$63</f>
        <v>0</v>
      </c>
      <c r="Q10" s="790">
        <f t="shared" ref="Q10:Q12" si="8">SUM(E10:P10)</f>
        <v>2351</v>
      </c>
      <c r="R10" s="254"/>
      <c r="S10" s="618">
        <f>+[50]A04!$B$12</f>
        <v>1015</v>
      </c>
      <c r="T10" s="618">
        <f>+[51]A04!$B$12</f>
        <v>1621</v>
      </c>
      <c r="U10" s="618">
        <f>+[52]A04!$B$12</f>
        <v>1690</v>
      </c>
      <c r="V10" s="618">
        <f>+[53]A04!$B$12</f>
        <v>2150</v>
      </c>
      <c r="W10" s="618">
        <f>+[54]A04!$B$12</f>
        <v>1540</v>
      </c>
      <c r="X10" s="618">
        <f>+[55]A04!$B$12</f>
        <v>1528</v>
      </c>
      <c r="Y10" s="618">
        <f>+[56]A04!$B$12</f>
        <v>1363</v>
      </c>
      <c r="Z10" s="618">
        <f>+[57]A04!$B$12</f>
        <v>1338</v>
      </c>
      <c r="AA10" s="618">
        <f>+[58]A04!$B$12</f>
        <v>1098</v>
      </c>
      <c r="AB10" s="618">
        <f>+[59]A04!$B$12</f>
        <v>1199</v>
      </c>
      <c r="AC10" s="618">
        <f>+[60]A04!$B$12</f>
        <v>0</v>
      </c>
      <c r="AD10" s="618">
        <f>+[61]A04!$B$12</f>
        <v>0</v>
      </c>
      <c r="AE10" s="272">
        <f t="shared" si="2"/>
        <v>14542</v>
      </c>
      <c r="AF10" s="254"/>
      <c r="AG10" s="618">
        <f>+[50]A06!$C$12</f>
        <v>87</v>
      </c>
      <c r="AH10" s="618">
        <f>+[51]A06!$C$12</f>
        <v>67</v>
      </c>
      <c r="AI10" s="618">
        <f>+[52]A06!$C$12</f>
        <v>123</v>
      </c>
      <c r="AJ10" s="618">
        <f>+[53]A06!$C$12</f>
        <v>184</v>
      </c>
      <c r="AK10" s="618">
        <f>+[54]A06!$C$12</f>
        <v>116</v>
      </c>
      <c r="AL10" s="618">
        <f>+[55]A06!$C$12</f>
        <v>160</v>
      </c>
      <c r="AM10" s="618">
        <f>+[56]A06!$C$12</f>
        <v>153</v>
      </c>
      <c r="AN10" s="618">
        <f>+[57]A06!$C$12</f>
        <v>203</v>
      </c>
      <c r="AO10" s="618">
        <f>+[58]A06!$C$12</f>
        <v>133</v>
      </c>
      <c r="AP10" s="618">
        <f>+[59]A06!$C$12</f>
        <v>124</v>
      </c>
      <c r="AQ10" s="618">
        <f>+[60]A06!$C$12</f>
        <v>0</v>
      </c>
      <c r="AR10" s="618">
        <f>+[61]A06!$C$12</f>
        <v>0</v>
      </c>
      <c r="AS10" s="272">
        <f t="shared" si="3"/>
        <v>1350</v>
      </c>
      <c r="AT10" s="254"/>
      <c r="AU10" s="272">
        <v>0</v>
      </c>
      <c r="AV10" s="272">
        <v>0</v>
      </c>
      <c r="AW10" s="272">
        <v>0</v>
      </c>
      <c r="AX10" s="272">
        <v>0</v>
      </c>
      <c r="AY10" s="272">
        <v>0</v>
      </c>
      <c r="AZ10" s="272">
        <v>0</v>
      </c>
      <c r="BA10" s="272">
        <v>0</v>
      </c>
      <c r="BB10" s="272">
        <v>0</v>
      </c>
      <c r="BC10" s="272">
        <v>0</v>
      </c>
      <c r="BD10" s="272">
        <v>0</v>
      </c>
      <c r="BE10" s="272">
        <v>0</v>
      </c>
      <c r="BF10" s="272">
        <v>0</v>
      </c>
      <c r="BG10" s="272">
        <v>0</v>
      </c>
      <c r="BH10" s="254"/>
      <c r="BI10" s="272">
        <v>0</v>
      </c>
      <c r="BJ10" s="272">
        <v>0</v>
      </c>
      <c r="BK10" s="272">
        <v>0</v>
      </c>
      <c r="BL10" s="272">
        <v>0</v>
      </c>
      <c r="BM10" s="272">
        <v>0</v>
      </c>
      <c r="BN10" s="272">
        <v>0</v>
      </c>
      <c r="BO10" s="272">
        <v>0</v>
      </c>
      <c r="BP10" s="272">
        <v>0</v>
      </c>
      <c r="BQ10" s="272">
        <v>0</v>
      </c>
      <c r="BR10" s="272">
        <v>0</v>
      </c>
      <c r="BS10" s="272">
        <v>0</v>
      </c>
      <c r="BT10" s="272">
        <v>0</v>
      </c>
      <c r="BU10" s="272">
        <v>0</v>
      </c>
      <c r="BV10" s="254"/>
      <c r="BW10" s="618">
        <f>+[50]A23!$B$58+[50]A23!$B$63</f>
        <v>0</v>
      </c>
      <c r="BX10" s="618">
        <f>+[51]A23!$B$58+[51]A23!$B$63</f>
        <v>8</v>
      </c>
      <c r="BY10" s="618">
        <f>+[52]A23!$B$58+[52]A23!$B$63</f>
        <v>10</v>
      </c>
      <c r="BZ10" s="618">
        <f>+[53]A23!$B$58+[53]A23!$B$63</f>
        <v>0</v>
      </c>
      <c r="CA10" s="618">
        <f>+[54]A23!$B$58+[54]A23!$B$63</f>
        <v>19</v>
      </c>
      <c r="CB10" s="618">
        <f>+[55]A23!$B$58+[55]A23!$B$63</f>
        <v>53</v>
      </c>
      <c r="CC10" s="618">
        <f>+[56]A23!$B$58+[56]A23!$B$63</f>
        <v>82</v>
      </c>
      <c r="CD10" s="618">
        <f>+[57]A23!$B$58+[57]A23!$B$63</f>
        <v>43</v>
      </c>
      <c r="CE10" s="618">
        <f>+[58]A23!$B$58+[58]A23!$B$63</f>
        <v>42</v>
      </c>
      <c r="CF10" s="618">
        <f>+[59]A23!$B$58+[59]A23!$B$63</f>
        <v>27</v>
      </c>
      <c r="CG10" s="618">
        <f>+[60]A23!$B$58+[60]A23!$B$63</f>
        <v>0</v>
      </c>
      <c r="CH10" s="618">
        <f>+[61]A23!$B$58+[61]A23!$B$63</f>
        <v>0</v>
      </c>
      <c r="CI10" s="272">
        <f t="shared" si="4"/>
        <v>284</v>
      </c>
      <c r="CJ10" s="254"/>
      <c r="CK10" s="608">
        <f>+[50]A32!$B$28+[50]A32!$C$134+[50]A32!$C$145</f>
        <v>0</v>
      </c>
      <c r="CL10" s="608">
        <f>+[51]A32!$B$28+[51]A32!$C$134+[51]A32!$C$145</f>
        <v>0</v>
      </c>
      <c r="CM10" s="608">
        <f>+[52]A32!$B$28+[52]A32!$C$134+[52]A32!$C$145</f>
        <v>0</v>
      </c>
      <c r="CN10" s="608">
        <f>+[53]A32!$B$28+[53]A32!$C$134+[53]A32!$C$145</f>
        <v>0</v>
      </c>
      <c r="CO10" s="608">
        <f>+[54]A32!$B$28+[54]A32!$C$134+[54]A32!$C$145</f>
        <v>0</v>
      </c>
      <c r="CP10" s="254">
        <v>0</v>
      </c>
      <c r="CQ10" s="254">
        <v>0</v>
      </c>
      <c r="CR10" s="254">
        <v>0</v>
      </c>
      <c r="CS10" s="254">
        <v>0</v>
      </c>
      <c r="CT10" s="254">
        <v>0</v>
      </c>
      <c r="CU10" s="254">
        <v>0</v>
      </c>
      <c r="CV10" s="254">
        <v>0</v>
      </c>
      <c r="CW10" s="260">
        <v>0</v>
      </c>
      <c r="CX10" s="254"/>
      <c r="CY10" s="796">
        <f t="shared" si="5"/>
        <v>1266</v>
      </c>
      <c r="CZ10" s="259">
        <f t="shared" si="0"/>
        <v>1906</v>
      </c>
      <c r="DA10" s="259">
        <f t="shared" si="0"/>
        <v>2171</v>
      </c>
      <c r="DB10" s="259">
        <f t="shared" si="0"/>
        <v>2575</v>
      </c>
      <c r="DC10" s="259">
        <f t="shared" si="0"/>
        <v>1888</v>
      </c>
      <c r="DD10" s="259">
        <f t="shared" si="0"/>
        <v>1820</v>
      </c>
      <c r="DE10" s="259">
        <f t="shared" si="0"/>
        <v>1820</v>
      </c>
      <c r="DF10" s="259">
        <f t="shared" si="0"/>
        <v>1864</v>
      </c>
      <c r="DG10" s="259">
        <f t="shared" si="0"/>
        <v>1550</v>
      </c>
      <c r="DH10" s="259">
        <f t="shared" si="0"/>
        <v>1667</v>
      </c>
      <c r="DI10" s="259">
        <f t="shared" si="0"/>
        <v>0</v>
      </c>
      <c r="DJ10" s="259">
        <f t="shared" si="0"/>
        <v>0</v>
      </c>
      <c r="DK10" s="465">
        <f t="shared" si="6"/>
        <v>18527</v>
      </c>
      <c r="DL10" s="254"/>
      <c r="DM10" s="277">
        <f>SUM([50]A07!$AE$136,[50]A07!$AF$136)-SUM([50]A07!$AE$120,[50]A07!$AE$121,[50]A07!$AE$129,[50]A07!$AE$130,[50]A07!$AE$131,[50]A07!$AF$120,[50]A07!$AF$121,[50]A07!$AF$122,[50]A07!$AF$129,[50]A07!$AF$130,[50]A07!$AF$131)</f>
        <v>356</v>
      </c>
      <c r="DN10" s="277">
        <f>SUM([51]A07!$AE$136,[51]A07!$AF$136)-SUM([51]A07!$AE$120,[51]A07!$AE$121,[51]A07!$AE$129,[51]A07!$AE$130,[51]A07!$AE$131,[51]A07!$AF$120,[51]A07!$AF$121,[51]A07!$AF$122,[51]A07!$AF$129,[51]A07!$AF$130,[51]A07!$AF$131)</f>
        <v>397</v>
      </c>
      <c r="DO10" s="277">
        <f>SUM([52]A07!$AE$136,[52]A07!$AF$136)-SUM([52]A07!$AE$120,[52]A07!$AE$121,[52]A07!$AE$129,[52]A07!$AE$130,[52]A07!$AE$131,[52]A07!$AF$120,[52]A07!$AF$121,[52]A07!$AF$122,[52]A07!$AF$129,[52]A07!$AF$130,[52]A07!$AF$131)</f>
        <v>405</v>
      </c>
      <c r="DP10" s="277">
        <f>SUM([53]A07!$AE$136,[53]A07!$AF$136)-SUM([53]A07!$AE$120,[53]A07!$AE$121,[53]A07!$AE$129,[53]A07!$AE$130,[53]A07!$AE$131,[53]A07!$AF$120,[53]A07!$AF$121,[53]A07!$AF$122,[53]A07!$AF$129,[53]A07!$AF$130,[53]A07!$AF$131)</f>
        <v>423</v>
      </c>
      <c r="DQ10" s="277">
        <f>SUM([54]A07!$AE$136,[54]A07!$AF$136)-SUM([54]A07!$AE$120,[54]A07!$AE$121,[54]A07!$AE$129,[54]A07!$AE$130,[54]A07!$AE$131,[54]A07!$AF$120,[54]A07!$AF$121,[54]A07!$AF$122,[54]A07!$AF$129,[54]A07!$AF$130,[54]A07!$AF$131)</f>
        <v>288</v>
      </c>
      <c r="DR10" s="277">
        <f>SUM([55]A07!$AE$136,[55]A07!$AF$136)-SUM([55]A07!$AE$120,[55]A07!$AE$121,[55]A07!$AE$129,[55]A07!$AE$130,[55]A07!$AE$131,[55]A07!$AF$120,[55]A07!$AF$121,[55]A07!$AF$122,[55]A07!$AF$129,[55]A07!$AF$130,[55]A07!$AF$131)</f>
        <v>394</v>
      </c>
      <c r="DS10" s="277">
        <f>SUM([56]A07!$AE$136,[56]A07!$AF$136)-SUM([56]A07!$AE$120,[56]A07!$AE$121,[56]A07!$AE$129,[56]A07!$AE$130,[56]A07!$AE$131,[56]A07!$AF$120,[56]A07!$AF$121,[56]A07!$AF$122,[56]A07!$AF$129,[56]A07!$AF$130,[56]A07!$AF$131)</f>
        <v>340</v>
      </c>
      <c r="DT10" s="277">
        <f>SUM([57]A07!$AE$136,[57]A07!$AF$136)-SUM([57]A07!$AE$120,[57]A07!$AE$121,[57]A07!$AE$129,[57]A07!$AE$130,[57]A07!$AE$131,[57]A07!$AF$120,[57]A07!$AF$121,[57]A07!$AF$122,[57]A07!$AF$129,[57]A07!$AF$130,[57]A07!$AF$131)</f>
        <v>238</v>
      </c>
      <c r="DU10" s="277">
        <f>SUM([58]A07!$AE$136,[58]A07!$AF$136)-SUM([58]A07!$AE$120,[58]A07!$AE$121,[58]A07!$AE$129,[58]A07!$AE$130,[58]A07!$AE$131,[58]A07!$AF$120,[58]A07!$AF$121,[58]A07!$AF$122,[58]A07!$AF$129,[58]A07!$AF$130,[58]A07!$AF$131)</f>
        <v>243</v>
      </c>
      <c r="DV10" s="277">
        <f>SUM([59]A07!$AE$136,[59]A07!$AF$136)-SUM([59]A07!$AE$120,[59]A07!$AE$121,[59]A07!$AE$129,[59]A07!$AE$130,[59]A07!$AE$131,[59]A07!$AF$120,[59]A07!$AF$121,[59]A07!$AF$122,[59]A07!$AF$129,[59]A07!$AF$130,[59]A07!$AF$131)</f>
        <v>255</v>
      </c>
      <c r="DW10" s="277">
        <f>SUM([60]A07!$AE$136,[60]A07!$AF$136)-SUM([60]A07!$AE$120,[60]A07!$AE$121,[60]A07!$AE$129,[60]A07!$AE$130,[60]A07!$AE$131,[60]A07!$AF$120,[60]A07!$AF$121,[60]A07!$AF$122,[60]A07!$AF$129,[60]A07!$AF$130,[60]A07!$AF$131)</f>
        <v>0</v>
      </c>
      <c r="DX10" s="277">
        <f>SUM([61]A07!$AE$136,[61]A07!$AF$136)-SUM([61]A07!$AE$120,[61]A07!$AE$121,[61]A07!$AE$129,[61]A07!$AE$130,[61]A07!$AE$131,[61]A07!$AF$120,[61]A07!$AF$121,[61]A07!$AF$122,[61]A07!$AF$129,[61]A07!$AF$130,[61]A07!$AF$131)</f>
        <v>0</v>
      </c>
      <c r="DY10" s="465">
        <f t="shared" si="7"/>
        <v>3339</v>
      </c>
      <c r="DZ10" s="254"/>
      <c r="EA10" s="277"/>
      <c r="EB10" s="254"/>
      <c r="EC10" s="254"/>
    </row>
    <row r="11" spans="2:215" s="256" customFormat="1" ht="12" x14ac:dyDescent="0.2">
      <c r="B11" s="148">
        <v>107400</v>
      </c>
      <c r="C11" s="149" t="s">
        <v>100</v>
      </c>
      <c r="E11" s="618">
        <f>+[62]A01!$C$11+[62]A01!$C$13+[62]A01!$C$15+[62]A01!$C$17+[62]A01!$C$19+[62]A01!$C$21+[62]A01!$C$23+[62]A01!$C$25+[62]A01!$C$27+[62]A01!$C$29+[62]A01!$C$31+[62]A01!$C$36+[62]A01!$C$44+[62]A01!$C$48+[62]A01!$C$51+[62]A01!$C$54+[62]A01!$C$57+[62]A01!$C$63</f>
        <v>36</v>
      </c>
      <c r="F11" s="618">
        <f>+[63]A01!$C$11+[63]A01!$C$13+[63]A01!$C$15+[63]A01!$C$17+[63]A01!$C$19+[63]A01!$C$21+[63]A01!$C$23+[63]A01!$C$25+[63]A01!$C$27+[63]A01!$C$29+[63]A01!$C$31+[63]A01!$C$36+[63]A01!$C$44+[63]A01!$C$48+[63]A01!$C$51+[63]A01!$C$54+[63]A01!$C$57+[63]A01!$C$63</f>
        <v>5</v>
      </c>
      <c r="G11" s="618">
        <f>+[64]A01!$C$11+[64]A01!$C$13+[64]A01!$C$15+[64]A01!$C$17+[64]A01!$C$19+[64]A01!$C$21+[64]A01!$C$23+[64]A01!$C$25+[64]A01!$C$27+[64]A01!$C$29+[64]A01!$C$31+[64]A01!$C$36+[64]A01!$C$44+[64]A01!$C$48+[64]A01!$C$51+[64]A01!$C$54+[64]A01!$C$57+[64]A01!$C$63</f>
        <v>11</v>
      </c>
      <c r="H11" s="618">
        <f>+[65]A01!$C$11+[65]A01!$C$13+[65]A01!$C$15+[65]A01!$C$17+[65]A01!$C$19+[65]A01!$C$21+[65]A01!$C$23+[65]A01!$C$25+[65]A01!$C$27+[65]A01!$C$29+[65]A01!$C$31+[65]A01!$C$36+[65]A01!$C$44+[65]A01!$C$48+[65]A01!$C$51+[65]A01!$C$54+[65]A01!$C$57+[65]A01!$C$63</f>
        <v>22</v>
      </c>
      <c r="I11" s="618">
        <f>+[66]A01!$C$11+[66]A01!$C$13+[66]A01!$C$15+[66]A01!$C$17+[66]A01!$C$19+[66]A01!$C$21+[66]A01!$C$23+[66]A01!$C$25+[66]A01!$C$27+[66]A01!$C$29+[66]A01!$C$31+[66]A01!$C$36+[66]A01!$C$44+[66]A01!$C$48+[66]A01!$C$51+[66]A01!$C$54+[66]A01!$C$57+[66]A01!$C$63</f>
        <v>24</v>
      </c>
      <c r="J11" s="618">
        <f>+[67]A01!$C$11+[67]A01!$C$13+[67]A01!$C$15+[67]A01!$C$17+[67]A01!$C$19+[67]A01!$C$21+[67]A01!$C$23+[67]A01!$C$25+[67]A01!$C$27+[67]A01!$C$29+[67]A01!$C$31+[67]A01!$C$36+[67]A01!$C$44+[67]A01!$C$48+[67]A01!$C$51+[67]A01!$C$54+[67]A01!$C$57+[67]A01!$C$63</f>
        <v>6</v>
      </c>
      <c r="K11" s="618">
        <f>+[68]A01!$C$11+[68]A01!$C$13+[68]A01!$C$15+[68]A01!$C$17+[68]A01!$C$19+[68]A01!$C$21+[68]A01!$C$23+[68]A01!$C$25+[68]A01!$C$27+[68]A01!$C$29+[68]A01!$C$31+[68]A01!$C$36+[68]A01!$C$44+[68]A01!$C$48+[68]A01!$C$51+[68]A01!$C$54+[68]A01!$C$57+[68]A01!$C$63</f>
        <v>16</v>
      </c>
      <c r="L11" s="618">
        <f>+[69]A01!$C$11+[69]A01!$C$13+[69]A01!$C$15+[69]A01!$C$17+[69]A01!$C$19+[69]A01!$C$21+[69]A01!$C$23+[69]A01!$C$25+[69]A01!$C$27+[69]A01!$C$29+[69]A01!$C$31+[69]A01!$C$36+[69]A01!$C$44+[69]A01!$C$48+[69]A01!$C$51+[69]A01!$C$54+[69]A01!$C$57+[69]A01!$C$63</f>
        <v>22</v>
      </c>
      <c r="M11" s="618">
        <f>+[70]A01!$C$11+[70]A01!$C$13+[70]A01!$C$15+[70]A01!$C$17+[70]A01!$C$19+[70]A01!$C$21+[70]A01!$C$23+[70]A01!$C$25+[70]A01!$C$27+[70]A01!$C$29+[70]A01!$C$31+[70]A01!$C$36+[70]A01!$C$44+[70]A01!$C$48+[70]A01!$C$51+[70]A01!$C$54+[70]A01!$C$57+[70]A01!$C$63</f>
        <v>13</v>
      </c>
      <c r="N11" s="618">
        <f>+[71]A01!$C$11+[71]A01!$C$13+[71]A01!$C$15+[71]A01!$C$17+[71]A01!$C$19+[71]A01!$C$21+[71]A01!$C$23+[71]A01!$C$25+[71]A01!$C$27+[71]A01!$C$29+[71]A01!$C$31+[71]A01!$C$36+[71]A01!$C$44+[71]A01!$C$48+[71]A01!$C$51+[71]A01!$C$54+[71]A01!$C$57+[71]A01!$C$63</f>
        <v>10</v>
      </c>
      <c r="O11" s="618">
        <f>+[72]A01!$C$11+[72]A01!$C$13+[72]A01!$C$15+[72]A01!$C$17+[72]A01!$C$19+[72]A01!$C$21+[72]A01!$C$23+[72]A01!$C$25+[72]A01!$C$27+[72]A01!$C$29+[72]A01!$C$31+[72]A01!$C$36+[72]A01!$C$44+[72]A01!$C$48+[72]A01!$C$51+[72]A01!$C$54+[72]A01!$C$57+[72]A01!$C$63</f>
        <v>0</v>
      </c>
      <c r="P11" s="618">
        <f>+[73]A01!$C$11+[73]A01!$C$13+[73]A01!$C$15+[73]A01!$C$17+[73]A01!$C$19+[73]A01!$C$21+[73]A01!$C$23+[73]A01!$C$25+[73]A01!$C$27+[73]A01!$C$29+[73]A01!$C$31+[73]A01!$C$36+[73]A01!$C$44+[73]A01!$C$48+[73]A01!$C$51+[73]A01!$C$54+[73]A01!$C$57+[73]A01!$C$63</f>
        <v>0</v>
      </c>
      <c r="Q11" s="272">
        <f t="shared" si="8"/>
        <v>165</v>
      </c>
      <c r="R11" s="254"/>
      <c r="S11" s="618">
        <f>+[62]A04!$B$12</f>
        <v>35</v>
      </c>
      <c r="T11" s="618">
        <f>+[63]A04!$B$12</f>
        <v>21</v>
      </c>
      <c r="U11" s="618">
        <f>+[64]A04!$B$12</f>
        <v>24</v>
      </c>
      <c r="V11" s="618">
        <f>+[65]A04!$B$12</f>
        <v>43</v>
      </c>
      <c r="W11" s="618">
        <f>+[66]A04!$B$12</f>
        <v>32</v>
      </c>
      <c r="X11" s="618">
        <f>+[67]A04!$B$12</f>
        <v>17</v>
      </c>
      <c r="Y11" s="618">
        <f>+[68]A04!$B$12</f>
        <v>28</v>
      </c>
      <c r="Z11" s="618">
        <f>+[69]A04!$B$12</f>
        <v>41</v>
      </c>
      <c r="AA11" s="618">
        <f>+[70]A04!$B$12</f>
        <v>14</v>
      </c>
      <c r="AB11" s="618">
        <f>+[71]A04!$B$12</f>
        <v>39</v>
      </c>
      <c r="AC11" s="618">
        <f>+[72]A04!$B$12</f>
        <v>0</v>
      </c>
      <c r="AD11" s="618">
        <f>+[73]A04!$B$12</f>
        <v>0</v>
      </c>
      <c r="AE11" s="272">
        <f t="shared" si="2"/>
        <v>294</v>
      </c>
      <c r="AF11" s="254"/>
      <c r="AG11" s="618">
        <f>+[62]A06!$C$12</f>
        <v>2</v>
      </c>
      <c r="AH11" s="618">
        <f>+[63]A06!$C$12</f>
        <v>0</v>
      </c>
      <c r="AI11" s="618">
        <f>+[64]A06!$C$12</f>
        <v>2</v>
      </c>
      <c r="AJ11" s="618">
        <f>+[65]A06!$C$12</f>
        <v>2</v>
      </c>
      <c r="AK11" s="618">
        <f>+[66]A06!$C$12</f>
        <v>2</v>
      </c>
      <c r="AL11" s="618">
        <f>+[67]A06!$C$12</f>
        <v>1</v>
      </c>
      <c r="AM11" s="618">
        <f>+[68]A06!$C$12</f>
        <v>2</v>
      </c>
      <c r="AN11" s="618">
        <f>+[69]A06!$C$12</f>
        <v>6</v>
      </c>
      <c r="AO11" s="618">
        <f>+[70]A06!$C$12</f>
        <v>2</v>
      </c>
      <c r="AP11" s="618">
        <f>+[71]A06!$C$12</f>
        <v>0</v>
      </c>
      <c r="AQ11" s="618">
        <f>+[72]A06!$C$12</f>
        <v>0</v>
      </c>
      <c r="AR11" s="618">
        <f>+[73]A06!$C$12</f>
        <v>0</v>
      </c>
      <c r="AS11" s="272">
        <f t="shared" si="3"/>
        <v>19</v>
      </c>
      <c r="AT11" s="254"/>
      <c r="AU11" s="272">
        <v>0</v>
      </c>
      <c r="AV11" s="272">
        <v>0</v>
      </c>
      <c r="AW11" s="272">
        <v>0</v>
      </c>
      <c r="AX11" s="272">
        <v>0</v>
      </c>
      <c r="AY11" s="272">
        <v>0</v>
      </c>
      <c r="AZ11" s="272">
        <v>0</v>
      </c>
      <c r="BA11" s="272">
        <v>0</v>
      </c>
      <c r="BB11" s="272">
        <v>0</v>
      </c>
      <c r="BC11" s="272">
        <v>0</v>
      </c>
      <c r="BD11" s="272">
        <v>0</v>
      </c>
      <c r="BE11" s="272">
        <v>0</v>
      </c>
      <c r="BF11" s="272">
        <v>0</v>
      </c>
      <c r="BG11" s="272">
        <v>0</v>
      </c>
      <c r="BH11" s="254"/>
      <c r="BI11" s="272">
        <v>0</v>
      </c>
      <c r="BJ11" s="272">
        <v>0</v>
      </c>
      <c r="BK11" s="272">
        <v>0</v>
      </c>
      <c r="BL11" s="272">
        <v>0</v>
      </c>
      <c r="BM11" s="272">
        <v>0</v>
      </c>
      <c r="BN11" s="272">
        <v>0</v>
      </c>
      <c r="BO11" s="272">
        <v>0</v>
      </c>
      <c r="BP11" s="272">
        <v>0</v>
      </c>
      <c r="BQ11" s="272">
        <v>0</v>
      </c>
      <c r="BR11" s="272">
        <v>0</v>
      </c>
      <c r="BS11" s="272">
        <v>0</v>
      </c>
      <c r="BT11" s="272">
        <v>0</v>
      </c>
      <c r="BU11" s="272">
        <v>0</v>
      </c>
      <c r="BV11" s="254"/>
      <c r="BW11" s="618">
        <f>+[62]A23!$B$58+[62]A23!$B$63</f>
        <v>0</v>
      </c>
      <c r="BX11" s="618">
        <f>+[63]A23!$B$58+[63]A23!$B$63</f>
        <v>0</v>
      </c>
      <c r="BY11" s="618">
        <f>+[64]A23!$B$58+[64]A23!$B$63</f>
        <v>0</v>
      </c>
      <c r="BZ11" s="618">
        <f>+[65]A23!$B$58+[65]A23!$B$63</f>
        <v>0</v>
      </c>
      <c r="CA11" s="618">
        <f>+[66]A23!$B$58+[66]A23!$B$63</f>
        <v>0</v>
      </c>
      <c r="CB11" s="618">
        <f>+[67]A23!$B$58+[67]A23!$B$63</f>
        <v>0</v>
      </c>
      <c r="CC11" s="618">
        <f>+[68]A23!$B$58+[68]A23!$B$63</f>
        <v>0</v>
      </c>
      <c r="CD11" s="618">
        <f>+[69]A23!$B$58+[69]A23!$B$63</f>
        <v>0</v>
      </c>
      <c r="CE11" s="618">
        <f>+[70]A23!$B$58+[70]A23!$B$63</f>
        <v>0</v>
      </c>
      <c r="CF11" s="618">
        <f>+[71]A23!$B$58+[71]A23!$B$63</f>
        <v>0</v>
      </c>
      <c r="CG11" s="618">
        <f>+[72]A23!$B$58+[72]A23!$B$63</f>
        <v>0</v>
      </c>
      <c r="CH11" s="618">
        <f>+[73]A23!$B$58+[73]A23!$B$63</f>
        <v>0</v>
      </c>
      <c r="CI11" s="272">
        <f t="shared" si="4"/>
        <v>0</v>
      </c>
      <c r="CJ11" s="254"/>
      <c r="CK11" s="608">
        <f>+[62]A32!$B$28+[62]A32!$C$134+[62]A32!$C$145</f>
        <v>0</v>
      </c>
      <c r="CL11" s="608">
        <f>+[63]A32!$B$28+[63]A32!$C$134+[63]A32!$C$145</f>
        <v>0</v>
      </c>
      <c r="CM11" s="608">
        <f>+[64]A32!$B$28+[64]A32!$C$134+[64]A32!$C$145</f>
        <v>0</v>
      </c>
      <c r="CN11" s="608">
        <f>+[65]A32!$B$28+[65]A32!$C$134+[65]A32!$C$145</f>
        <v>0</v>
      </c>
      <c r="CO11" s="608">
        <f>+[66]A32!$B$28+[66]A32!$C$134+[66]A32!$C$145</f>
        <v>0</v>
      </c>
      <c r="CP11" s="254">
        <v>0</v>
      </c>
      <c r="CQ11" s="254">
        <v>0</v>
      </c>
      <c r="CR11" s="254">
        <v>0</v>
      </c>
      <c r="CS11" s="254">
        <v>0</v>
      </c>
      <c r="CT11" s="254">
        <v>0</v>
      </c>
      <c r="CU11" s="254">
        <v>0</v>
      </c>
      <c r="CV11" s="254">
        <v>0</v>
      </c>
      <c r="CW11" s="260">
        <v>0</v>
      </c>
      <c r="CX11" s="254"/>
      <c r="CY11" s="259">
        <f t="shared" si="5"/>
        <v>73</v>
      </c>
      <c r="CZ11" s="259">
        <f t="shared" si="0"/>
        <v>26</v>
      </c>
      <c r="DA11" s="259">
        <f t="shared" si="0"/>
        <v>37</v>
      </c>
      <c r="DB11" s="259">
        <f t="shared" si="0"/>
        <v>67</v>
      </c>
      <c r="DC11" s="259">
        <f t="shared" si="0"/>
        <v>58</v>
      </c>
      <c r="DD11" s="259">
        <f t="shared" si="0"/>
        <v>24</v>
      </c>
      <c r="DE11" s="259">
        <f t="shared" si="0"/>
        <v>46</v>
      </c>
      <c r="DF11" s="259">
        <f t="shared" si="0"/>
        <v>69</v>
      </c>
      <c r="DG11" s="259">
        <f t="shared" si="0"/>
        <v>29</v>
      </c>
      <c r="DH11" s="259">
        <f t="shared" si="0"/>
        <v>49</v>
      </c>
      <c r="DI11" s="259">
        <f t="shared" si="0"/>
        <v>0</v>
      </c>
      <c r="DJ11" s="259">
        <f t="shared" si="0"/>
        <v>0</v>
      </c>
      <c r="DK11" s="465">
        <f t="shared" si="6"/>
        <v>478</v>
      </c>
      <c r="DL11" s="254"/>
      <c r="DM11" s="277">
        <f>SUM([62]A07!$AE$136,[62]A07!$AF$136)-SUM([62]A07!$AE$120,[62]A07!$AE$121,[62]A07!$AE$129,[62]A07!$AE$130,[62]A07!$AE$131,[62]A07!$AF$120,[62]A07!$AF$121,[62]A07!$AF$122,[62]A07!$AF$129,[62]A07!$AF$130,[62]A07!$AF$131)</f>
        <v>8</v>
      </c>
      <c r="DN11" s="277">
        <f>SUM([63]A07!$AE$136,[63]A07!$AF$136)-SUM([63]A07!$AE$120,[63]A07!$AE$121,[63]A07!$AE$129,[63]A07!$AE$130,[63]A07!$AE$131,[63]A07!$AF$120,[63]A07!$AF$121,[63]A07!$AF$122,[63]A07!$AF$129,[63]A07!$AF$130,[63]A07!$AF$131)</f>
        <v>8</v>
      </c>
      <c r="DO11" s="277">
        <f>SUM([64]A07!$AE$136,[64]A07!$AF$136)-SUM([64]A07!$AE$120,[64]A07!$AE$121,[64]A07!$AE$129,[64]A07!$AE$130,[64]A07!$AE$131,[64]A07!$AF$120,[64]A07!$AF$121,[64]A07!$AF$122,[64]A07!$AF$129,[64]A07!$AF$130,[64]A07!$AF$131)</f>
        <v>8</v>
      </c>
      <c r="DP11" s="277">
        <f>SUM([65]A07!$AE$136,[65]A07!$AF$136)-SUM([65]A07!$AE$120,[65]A07!$AE$121,[65]A07!$AE$129,[65]A07!$AE$130,[65]A07!$AE$131,[65]A07!$AF$120,[65]A07!$AF$121,[65]A07!$AF$122,[65]A07!$AF$129,[65]A07!$AF$130,[65]A07!$AF$131)</f>
        <v>8</v>
      </c>
      <c r="DQ11" s="277">
        <f>SUM([66]A07!$AE$136,[66]A07!$AF$136)-SUM([66]A07!$AE$120,[66]A07!$AE$121,[66]A07!$AE$129,[66]A07!$AE$130,[66]A07!$AE$131,[66]A07!$AF$120,[66]A07!$AF$121,[66]A07!$AF$122,[66]A07!$AF$129,[66]A07!$AF$130,[66]A07!$AF$131)</f>
        <v>8</v>
      </c>
      <c r="DR11" s="277">
        <f>SUM([67]A07!$AE$136,[67]A07!$AF$136)-SUM([67]A07!$AE$120,[67]A07!$AE$121,[67]A07!$AE$129,[67]A07!$AE$130,[67]A07!$AE$131,[67]A07!$AF$120,[67]A07!$AF$121,[67]A07!$AF$122,[67]A07!$AF$129,[67]A07!$AF$130,[67]A07!$AF$131)</f>
        <v>8</v>
      </c>
      <c r="DS11" s="277">
        <f>SUM([68]A07!$AE$136,[68]A07!$AF$136)-SUM([68]A07!$AE$120,[68]A07!$AE$121,[68]A07!$AE$129,[68]A07!$AE$130,[68]A07!$AE$131,[68]A07!$AF$120,[68]A07!$AF$121,[68]A07!$AF$122,[68]A07!$AF$129,[68]A07!$AF$130,[68]A07!$AF$131)</f>
        <v>8</v>
      </c>
      <c r="DT11" s="277">
        <f>SUM([69]A07!$AE$136,[69]A07!$AF$136)-SUM([69]A07!$AE$120,[69]A07!$AE$121,[69]A07!$AE$129,[69]A07!$AE$130,[69]A07!$AE$131,[69]A07!$AF$120,[69]A07!$AF$121,[69]A07!$AF$122,[69]A07!$AF$129,[69]A07!$AF$130,[69]A07!$AF$131)</f>
        <v>8</v>
      </c>
      <c r="DU11" s="277">
        <f>SUM([70]A07!$AE$136,[70]A07!$AF$136)-SUM([70]A07!$AE$120,[70]A07!$AE$121,[70]A07!$AE$129,[70]A07!$AE$130,[70]A07!$AE$131,[70]A07!$AF$120,[70]A07!$AF$121,[70]A07!$AF$122,[70]A07!$AF$129,[70]A07!$AF$130,[70]A07!$AF$131)</f>
        <v>8</v>
      </c>
      <c r="DV11" s="277">
        <f>SUM([71]A07!$AE$136,[71]A07!$AF$136)-SUM([71]A07!$AE$120,[71]A07!$AE$121,[71]A07!$AE$129,[71]A07!$AE$130,[71]A07!$AE$131,[71]A07!$AF$120,[71]A07!$AF$121,[71]A07!$AF$122,[71]A07!$AF$129,[71]A07!$AF$130,[71]A07!$AF$131)</f>
        <v>0</v>
      </c>
      <c r="DW11" s="277">
        <f>SUM([72]A07!$AE$136,[72]A07!$AF$136)-SUM([72]A07!$AE$120,[72]A07!$AE$121,[72]A07!$AE$129,[72]A07!$AE$130,[72]A07!$AE$131,[72]A07!$AF$120,[72]A07!$AF$121,[72]A07!$AF$122,[72]A07!$AF$129,[72]A07!$AF$130,[72]A07!$AF$131)</f>
        <v>0</v>
      </c>
      <c r="DX11" s="277">
        <f>SUM([73]A07!$AE$136,[73]A07!$AF$136)-SUM([73]A07!$AE$120,[73]A07!$AE$121,[73]A07!$AE$129,[73]A07!$AE$130,[73]A07!$AE$131,[73]A07!$AF$120,[73]A07!$AF$121,[73]A07!$AF$122,[73]A07!$AF$129,[73]A07!$AF$130,[73]A07!$AF$131)</f>
        <v>0</v>
      </c>
      <c r="DY11" s="465">
        <f t="shared" si="7"/>
        <v>72</v>
      </c>
      <c r="DZ11" s="254"/>
      <c r="EA11" s="277"/>
      <c r="EB11" s="254"/>
      <c r="EC11" s="254"/>
    </row>
    <row r="12" spans="2:215" s="256" customFormat="1" thickBot="1" x14ac:dyDescent="0.25">
      <c r="B12" s="150">
        <v>107756</v>
      </c>
      <c r="C12" s="151" t="s">
        <v>101</v>
      </c>
      <c r="D12" s="262"/>
      <c r="E12" s="618">
        <f>+[74]A01!$C$11+[74]A01!$C$13+[74]A01!$C$15+[74]A01!$C$17+[74]A01!$C$19+[74]A01!$C$21+[74]A01!$C$23+[74]A01!$C$25+[74]A01!$C$27+[74]A01!$C$29+[74]A01!$C$31+[74]A01!$C$36+[74]A01!$C$44+[74]A01!$C$48+[74]A01!$C$51+[74]A01!$C$54+[74]A01!$C$57+[74]A01!$C$63</f>
        <v>91</v>
      </c>
      <c r="F12" s="618">
        <f>+[75]A01!$C$11+[75]A01!$C$13+[75]A01!$C$15+[75]A01!$C$17+[75]A01!$C$19+[75]A01!$C$21+[75]A01!$C$23+[75]A01!$C$25+[75]A01!$C$27+[75]A01!$C$29+[75]A01!$C$31+[75]A01!$C$36+[75]A01!$C$44+[75]A01!$C$48+[75]A01!$C$51+[75]A01!$C$54+[75]A01!$C$57+[75]A01!$C$63</f>
        <v>107</v>
      </c>
      <c r="G12" s="618">
        <f>+[76]A01!$C$11+[76]A01!$C$13+[76]A01!$C$15+[76]A01!$C$17+[76]A01!$C$19+[76]A01!$C$21+[76]A01!$C$23+[76]A01!$C$25+[76]A01!$C$27+[76]A01!$C$29+[76]A01!$C$31+[76]A01!$C$36+[76]A01!$C$44+[76]A01!$C$48+[76]A01!$C$51+[76]A01!$C$54+[76]A01!$C$57+[76]A01!$C$63</f>
        <v>95</v>
      </c>
      <c r="H12" s="618">
        <f>+[77]A01!$C$11+[77]A01!$C$13+[77]A01!$C$15+[77]A01!$C$17+[77]A01!$C$19+[77]A01!$C$21+[77]A01!$C$23+[77]A01!$C$25+[77]A01!$C$27+[77]A01!$C$29+[77]A01!$C$31+[77]A01!$C$36+[77]A01!$C$44+[77]A01!$C$48+[77]A01!$C$51+[77]A01!$C$54+[77]A01!$C$57+[77]A01!$C$63</f>
        <v>15</v>
      </c>
      <c r="I12" s="618">
        <f>+[78]A01!$C$11+[78]A01!$C$13+[78]A01!$C$15+[78]A01!$C$17+[78]A01!$C$19+[78]A01!$C$21+[78]A01!$C$23+[78]A01!$C$25+[78]A01!$C$27+[78]A01!$C$29+[78]A01!$C$31+[78]A01!$C$36+[78]A01!$C$44+[78]A01!$C$48+[78]A01!$C$51+[78]A01!$C$54+[78]A01!$C$57+[78]A01!$C$63</f>
        <v>190</v>
      </c>
      <c r="J12" s="618">
        <f>+[79]A01!$C$11+[79]A01!$C$13+[79]A01!$C$15+[79]A01!$C$17+[79]A01!$C$19+[79]A01!$C$21+[79]A01!$C$23+[79]A01!$C$25+[79]A01!$C$27+[79]A01!$C$29+[79]A01!$C$31+[79]A01!$C$36+[79]A01!$C$44+[79]A01!$C$48+[79]A01!$C$51+[79]A01!$C$54+[79]A01!$C$57+[79]A01!$C$63</f>
        <v>144</v>
      </c>
      <c r="K12" s="618">
        <f>+[80]A01!$C$11+[80]A01!$C$13+[80]A01!$C$15+[80]A01!$C$17+[80]A01!$C$19+[80]A01!$C$21+[80]A01!$C$23+[80]A01!$C$25+[80]A01!$C$27+[80]A01!$C$29+[80]A01!$C$31+[80]A01!$C$36+[80]A01!$C$44+[80]A01!$C$48+[80]A01!$C$51+[80]A01!$C$54+[80]A01!$C$57+[80]A01!$C$63</f>
        <v>126</v>
      </c>
      <c r="L12" s="618">
        <f>+[81]A01!$C$11+[81]A01!$C$13+[81]A01!$C$15+[81]A01!$C$17+[81]A01!$C$19+[81]A01!$C$21+[81]A01!$C$23+[81]A01!$C$25+[81]A01!$C$27+[81]A01!$C$29+[81]A01!$C$31+[81]A01!$C$36+[81]A01!$C$44+[81]A01!$C$48+[81]A01!$C$51+[81]A01!$C$54+[81]A01!$C$57+[81]A01!$C$63</f>
        <v>149</v>
      </c>
      <c r="M12" s="618">
        <f>+[82]A01!$C$11+[82]A01!$C$13+[82]A01!$C$15+[82]A01!$C$17+[82]A01!$C$19+[82]A01!$C$21+[82]A01!$C$23+[82]A01!$C$25+[82]A01!$C$27+[82]A01!$C$29+[82]A01!$C$31+[82]A01!$C$36+[82]A01!$C$44+[82]A01!$C$48+[82]A01!$C$51+[82]A01!$C$54+[82]A01!$C$57+[82]A01!$C$63</f>
        <v>124</v>
      </c>
      <c r="N12" s="618">
        <f>+[83]A01!$C$11+[83]A01!$C$13+[83]A01!$C$15+[83]A01!$C$17+[83]A01!$C$19+[83]A01!$C$21+[83]A01!$C$23+[83]A01!$C$25+[83]A01!$C$27+[83]A01!$C$29+[83]A01!$C$31+[83]A01!$C$36+[83]A01!$C$44+[83]A01!$C$48+[83]A01!$C$51+[83]A01!$C$54+[83]A01!$C$57+[83]A01!$C$63</f>
        <v>154</v>
      </c>
      <c r="O12" s="618">
        <f>+[84]A01!$C$11+[84]A01!$C$13+[84]A01!$C$15+[84]A01!$C$17+[84]A01!$C$19+[84]A01!$C$21+[84]A01!$C$23+[84]A01!$C$25+[84]A01!$C$27+[84]A01!$C$29+[84]A01!$C$31+[84]A01!$C$36+[84]A01!$C$44+[84]A01!$C$48+[84]A01!$C$51+[84]A01!$C$54+[84]A01!$C$57+[84]A01!$C$63</f>
        <v>0</v>
      </c>
      <c r="P12" s="618">
        <f>+[85]A01!$C$11+[85]A01!$C$13+[85]A01!$C$15+[85]A01!$C$17+[85]A01!$C$19+[85]A01!$C$21+[85]A01!$C$23+[85]A01!$C$25+[85]A01!$C$27+[85]A01!$C$29+[85]A01!$C$31+[85]A01!$C$36+[85]A01!$C$44+[85]A01!$C$48+[85]A01!$C$51+[85]A01!$C$54+[85]A01!$C$57+[85]A01!$C$63</f>
        <v>0</v>
      </c>
      <c r="Q12" s="272">
        <f t="shared" si="8"/>
        <v>1195</v>
      </c>
      <c r="R12" s="254"/>
      <c r="S12" s="618">
        <f>+[74]A04!$B$12</f>
        <v>445</v>
      </c>
      <c r="T12" s="618">
        <f>+[75]A04!$B$12</f>
        <v>304</v>
      </c>
      <c r="U12" s="618">
        <f>+[76]A04!$B$12</f>
        <v>404</v>
      </c>
      <c r="V12" s="618">
        <f>+[77]A04!$B$12</f>
        <v>557</v>
      </c>
      <c r="W12" s="618">
        <f>+[78]A04!$B$12</f>
        <v>490</v>
      </c>
      <c r="X12" s="618">
        <f>+[79]A04!$B$12</f>
        <v>397</v>
      </c>
      <c r="Y12" s="618">
        <f>+[80]A04!$B$12</f>
        <v>467</v>
      </c>
      <c r="Z12" s="618">
        <f>+[81]A04!$B$12</f>
        <v>309</v>
      </c>
      <c r="AA12" s="618">
        <f>+[82]A04!$B$12</f>
        <v>335</v>
      </c>
      <c r="AB12" s="618">
        <f>+[83]A04!$B$12</f>
        <v>462</v>
      </c>
      <c r="AC12" s="618">
        <f>+[84]A04!$B$12</f>
        <v>0</v>
      </c>
      <c r="AD12" s="618">
        <f>+[85]A04!$B$12</f>
        <v>0</v>
      </c>
      <c r="AE12" s="272">
        <f t="shared" si="2"/>
        <v>4170</v>
      </c>
      <c r="AF12" s="254"/>
      <c r="AG12" s="618">
        <f>+[74]A06!$C$12</f>
        <v>58</v>
      </c>
      <c r="AH12" s="618">
        <f>+[75]A06!$C$12</f>
        <v>25</v>
      </c>
      <c r="AI12" s="618">
        <f>+[76]A06!$C$12</f>
        <v>39</v>
      </c>
      <c r="AJ12" s="618">
        <f>+[77]A06!$C$12</f>
        <v>78</v>
      </c>
      <c r="AK12" s="618">
        <f>+[78]A06!$C$12</f>
        <v>60</v>
      </c>
      <c r="AL12" s="618">
        <f>+[79]A06!$C$12</f>
        <v>27</v>
      </c>
      <c r="AM12" s="618">
        <f>+[80]A06!$C$12</f>
        <v>43</v>
      </c>
      <c r="AN12" s="618">
        <f>+[81]A06!$C$12</f>
        <v>35</v>
      </c>
      <c r="AO12" s="618">
        <f>+[82]A06!$C$12</f>
        <v>65</v>
      </c>
      <c r="AP12" s="618">
        <f>+[83]A06!$C$12</f>
        <v>75</v>
      </c>
      <c r="AQ12" s="618">
        <f>+[84]A06!$C$12</f>
        <v>0</v>
      </c>
      <c r="AR12" s="618">
        <f>+[85]A06!$C$12</f>
        <v>0</v>
      </c>
      <c r="AS12" s="272">
        <f t="shared" si="3"/>
        <v>505</v>
      </c>
      <c r="AT12" s="254"/>
      <c r="AU12" s="272">
        <v>0</v>
      </c>
      <c r="AV12" s="272">
        <v>0</v>
      </c>
      <c r="AW12" s="272">
        <v>0</v>
      </c>
      <c r="AX12" s="272">
        <v>0</v>
      </c>
      <c r="AY12" s="272">
        <v>0</v>
      </c>
      <c r="AZ12" s="272">
        <v>0</v>
      </c>
      <c r="BA12" s="272">
        <v>0</v>
      </c>
      <c r="BB12" s="272">
        <v>0</v>
      </c>
      <c r="BC12" s="272">
        <v>0</v>
      </c>
      <c r="BD12" s="272">
        <v>0</v>
      </c>
      <c r="BE12" s="272">
        <v>0</v>
      </c>
      <c r="BF12" s="272">
        <v>0</v>
      </c>
      <c r="BG12" s="272">
        <v>0</v>
      </c>
      <c r="BH12" s="254"/>
      <c r="BI12" s="272">
        <v>0</v>
      </c>
      <c r="BJ12" s="272">
        <v>0</v>
      </c>
      <c r="BK12" s="272">
        <v>0</v>
      </c>
      <c r="BL12" s="272">
        <v>0</v>
      </c>
      <c r="BM12" s="272">
        <v>0</v>
      </c>
      <c r="BN12" s="272">
        <v>0</v>
      </c>
      <c r="BO12" s="272">
        <v>0</v>
      </c>
      <c r="BP12" s="272">
        <v>0</v>
      </c>
      <c r="BQ12" s="272">
        <v>0</v>
      </c>
      <c r="BR12" s="272">
        <v>0</v>
      </c>
      <c r="BS12" s="272">
        <v>0</v>
      </c>
      <c r="BT12" s="272">
        <v>0</v>
      </c>
      <c r="BU12" s="272">
        <v>0</v>
      </c>
      <c r="BV12" s="254"/>
      <c r="BW12" s="618">
        <f>+[74]A23!$B$58+[74]A23!$B$63</f>
        <v>3</v>
      </c>
      <c r="BX12" s="618">
        <f>+[75]A23!$B$58+[75]A23!$B$63</f>
        <v>13</v>
      </c>
      <c r="BY12" s="618">
        <f>+[76]A23!$B$58+[76]A23!$B$63</f>
        <v>12</v>
      </c>
      <c r="BZ12" s="618">
        <f>+[77]A23!$B$58+[77]A23!$B$63</f>
        <v>11</v>
      </c>
      <c r="CA12" s="618">
        <f>+[78]A23!$B$58+[78]A23!$B$63</f>
        <v>5</v>
      </c>
      <c r="CB12" s="618">
        <f>+[79]A23!$B$58+[79]A23!$B$63</f>
        <v>6</v>
      </c>
      <c r="CC12" s="618">
        <f>+[80]A23!$B$58+[80]A23!$B$63</f>
        <v>14</v>
      </c>
      <c r="CD12" s="618">
        <f>+[81]A23!$B$58+[81]A23!$B$63</f>
        <v>8</v>
      </c>
      <c r="CE12" s="618">
        <f>+[82]A23!$B$58+[82]A23!$B$63</f>
        <v>16</v>
      </c>
      <c r="CF12" s="618">
        <f>+[83]A23!$B$58+[83]A23!$B$63</f>
        <v>16</v>
      </c>
      <c r="CG12" s="618">
        <f>+[84]A23!$B$58+[84]A23!$B$63</f>
        <v>0</v>
      </c>
      <c r="CH12" s="618">
        <f>+[85]A23!$B$58+[85]A23!$B$63</f>
        <v>0</v>
      </c>
      <c r="CI12" s="272">
        <f t="shared" si="4"/>
        <v>104</v>
      </c>
      <c r="CJ12" s="254"/>
      <c r="CK12" s="608">
        <f>+[74]A32!$B$28+[74]A32!$C$134+[74]A32!$C$145</f>
        <v>0</v>
      </c>
      <c r="CL12" s="608">
        <f>+[75]A32!$B$28+[75]A32!$C$134+[75]A32!$C$145</f>
        <v>0</v>
      </c>
      <c r="CM12" s="608">
        <f>+[76]A32!$B$28+[76]A32!$C$134+[76]A32!$C$145</f>
        <v>0</v>
      </c>
      <c r="CN12" s="608">
        <f>+[77]A32!$B$28+[77]A32!$C$134+[77]A32!$C$145</f>
        <v>0</v>
      </c>
      <c r="CO12" s="608">
        <f>+[78]A32!$B$28+[78]A32!$C$134+[78]A32!$C$145</f>
        <v>0</v>
      </c>
      <c r="CP12" s="254">
        <v>0</v>
      </c>
      <c r="CQ12" s="254">
        <v>0</v>
      </c>
      <c r="CR12" s="254">
        <v>0</v>
      </c>
      <c r="CS12" s="254">
        <v>0</v>
      </c>
      <c r="CT12" s="254">
        <v>0</v>
      </c>
      <c r="CU12" s="254">
        <v>0</v>
      </c>
      <c r="CV12" s="254">
        <v>0</v>
      </c>
      <c r="CW12" s="260">
        <v>0</v>
      </c>
      <c r="CX12" s="254"/>
      <c r="CY12" s="259">
        <f t="shared" si="5"/>
        <v>597</v>
      </c>
      <c r="CZ12" s="259">
        <f t="shared" si="0"/>
        <v>449</v>
      </c>
      <c r="DA12" s="259">
        <f t="shared" si="0"/>
        <v>550</v>
      </c>
      <c r="DB12" s="259">
        <f t="shared" si="0"/>
        <v>661</v>
      </c>
      <c r="DC12" s="259">
        <f t="shared" si="0"/>
        <v>745</v>
      </c>
      <c r="DD12" s="259">
        <f t="shared" si="0"/>
        <v>574</v>
      </c>
      <c r="DE12" s="259">
        <f t="shared" si="0"/>
        <v>650</v>
      </c>
      <c r="DF12" s="259">
        <f t="shared" si="0"/>
        <v>501</v>
      </c>
      <c r="DG12" s="259">
        <f t="shared" si="0"/>
        <v>540</v>
      </c>
      <c r="DH12" s="259">
        <f t="shared" si="0"/>
        <v>707</v>
      </c>
      <c r="DI12" s="259">
        <f t="shared" si="0"/>
        <v>0</v>
      </c>
      <c r="DJ12" s="259">
        <f t="shared" si="0"/>
        <v>0</v>
      </c>
      <c r="DK12" s="465">
        <f t="shared" si="6"/>
        <v>5974</v>
      </c>
      <c r="DL12" s="254"/>
      <c r="DM12" s="277">
        <f>SUM([74]A07!$AE$136,[74]A07!$AF$136)-SUM([74]A07!$AE$120,[74]A07!$AE$121,[74]A07!$AE$129,[74]A07!$AE$130,[74]A07!$AE$131,[74]A07!$AF$120,[74]A07!$AF$121,[74]A07!$AF$122,[74]A07!$AF$129,[74]A07!$AF$130,[74]A07!$AF$131)</f>
        <v>104</v>
      </c>
      <c r="DN12" s="277">
        <f>SUM([75]A07!$AE$136,[75]A07!$AF$136)-SUM([75]A07!$AE$120,[75]A07!$AE$121,[75]A07!$AE$129,[75]A07!$AE$130,[75]A07!$AE$131,[75]A07!$AF$120,[75]A07!$AF$121,[75]A07!$AF$122,[75]A07!$AF$129,[75]A07!$AF$130,[75]A07!$AF$131)</f>
        <v>47</v>
      </c>
      <c r="DO12" s="277">
        <f>SUM([76]A07!$AE$136,[76]A07!$AF$136)-SUM([76]A07!$AE$120,[76]A07!$AE$121,[76]A07!$AE$129,[76]A07!$AE$130,[76]A07!$AE$131,[76]A07!$AF$120,[76]A07!$AF$121,[76]A07!$AF$122,[76]A07!$AF$129,[76]A07!$AF$130,[76]A07!$AF$131)</f>
        <v>58</v>
      </c>
      <c r="DP12" s="277">
        <f>SUM([77]A07!$AE$136,[77]A07!$AF$136)-SUM([77]A07!$AE$120,[77]A07!$AE$121,[77]A07!$AE$129,[77]A07!$AE$130,[77]A07!$AE$131,[77]A07!$AF$120,[77]A07!$AF$121,[77]A07!$AF$122,[77]A07!$AF$129,[77]A07!$AF$130,[77]A07!$AF$131)</f>
        <v>49</v>
      </c>
      <c r="DQ12" s="277">
        <f>SUM([78]A07!$AE$136,[78]A07!$AF$136)-SUM([78]A07!$AE$120,[78]A07!$AE$121,[78]A07!$AE$129,[78]A07!$AE$130,[78]A07!$AE$131,[78]A07!$AF$120,[78]A07!$AF$121,[78]A07!$AF$122,[78]A07!$AF$129,[78]A07!$AF$130,[78]A07!$AF$131)</f>
        <v>75</v>
      </c>
      <c r="DR12" s="277">
        <f>SUM([79]A07!$AE$136,[79]A07!$AF$136)-SUM([79]A07!$AE$120,[79]A07!$AE$121,[79]A07!$AE$129,[79]A07!$AE$130,[79]A07!$AE$131,[79]A07!$AF$120,[79]A07!$AF$121,[79]A07!$AF$122,[79]A07!$AF$129,[79]A07!$AF$130,[79]A07!$AF$131)</f>
        <v>61</v>
      </c>
      <c r="DS12" s="277">
        <f>SUM([80]A07!$AE$136,[80]A07!$AF$136)-SUM([80]A07!$AE$120,[80]A07!$AE$121,[80]A07!$AE$129,[80]A07!$AE$130,[80]A07!$AE$131,[80]A07!$AF$120,[80]A07!$AF$121,[80]A07!$AF$122,[80]A07!$AF$129,[80]A07!$AF$130,[80]A07!$AF$131)</f>
        <v>110</v>
      </c>
      <c r="DT12" s="277">
        <f>SUM([81]A07!$AE$136,[81]A07!$AF$136)-SUM([81]A07!$AE$120,[81]A07!$AE$121,[81]A07!$AE$129,[81]A07!$AE$130,[81]A07!$AE$131,[81]A07!$AF$120,[81]A07!$AF$121,[81]A07!$AF$122,[81]A07!$AF$129,[81]A07!$AF$130,[81]A07!$AF$131)</f>
        <v>158</v>
      </c>
      <c r="DU12" s="277">
        <f>SUM([82]A07!$AE$136,[82]A07!$AF$136)-SUM([82]A07!$AE$120,[82]A07!$AE$121,[82]A07!$AE$129,[82]A07!$AE$130,[82]A07!$AE$131,[82]A07!$AF$120,[82]A07!$AF$121,[82]A07!$AF$122,[82]A07!$AF$129,[82]A07!$AF$130,[82]A07!$AF$131)</f>
        <v>58</v>
      </c>
      <c r="DV12" s="277">
        <f>SUM([83]A07!$AE$136,[83]A07!$AF$136)-SUM([83]A07!$AE$120,[83]A07!$AE$121,[83]A07!$AE$129,[83]A07!$AE$130,[83]A07!$AE$131,[83]A07!$AF$120,[83]A07!$AF$121,[83]A07!$AF$122,[83]A07!$AF$129,[83]A07!$AF$130,[83]A07!$AF$131)</f>
        <v>82</v>
      </c>
      <c r="DW12" s="277">
        <f>SUM([84]A07!$AE$136,[84]A07!$AF$136)-SUM([84]A07!$AE$120,[84]A07!$AE$121,[84]A07!$AE$129,[84]A07!$AE$130,[84]A07!$AE$131,[84]A07!$AF$120,[84]A07!$AF$121,[84]A07!$AF$122,[84]A07!$AF$129,[84]A07!$AF$130,[84]A07!$AF$131)</f>
        <v>0</v>
      </c>
      <c r="DX12" s="277">
        <f>SUM([85]A07!$AE$136,[85]A07!$AF$136)-SUM([85]A07!$AE$120,[85]A07!$AE$121,[85]A07!$AE$129,[85]A07!$AE$130,[85]A07!$AE$131,[85]A07!$AF$120,[85]A07!$AF$121,[85]A07!$AF$122,[85]A07!$AF$129,[85]A07!$AF$130,[85]A07!$AF$131)</f>
        <v>0</v>
      </c>
      <c r="DY12" s="465">
        <f t="shared" si="7"/>
        <v>802</v>
      </c>
      <c r="DZ12" s="254"/>
      <c r="EA12" s="277"/>
      <c r="EB12" s="254"/>
      <c r="EC12" s="254"/>
    </row>
    <row r="13" spans="2:215" s="256" customFormat="1" thickBot="1" x14ac:dyDescent="0.25">
      <c r="B13" s="264"/>
      <c r="C13" s="265" t="s">
        <v>202</v>
      </c>
      <c r="D13" s="266"/>
      <c r="E13" s="267">
        <v>18452</v>
      </c>
      <c r="F13" s="267">
        <f>SUM(F6:F12)</f>
        <v>1419</v>
      </c>
      <c r="G13" s="267">
        <f t="shared" ref="G13:P13" si="9">SUM(G6:G12)</f>
        <v>1959</v>
      </c>
      <c r="H13" s="267">
        <f t="shared" si="9"/>
        <v>2203</v>
      </c>
      <c r="I13" s="267">
        <f t="shared" si="9"/>
        <v>2823</v>
      </c>
      <c r="J13" s="267">
        <f t="shared" ref="J13" si="10">SUM(J6:J12)</f>
        <v>2336</v>
      </c>
      <c r="K13" s="267">
        <f t="shared" si="9"/>
        <v>2511</v>
      </c>
      <c r="L13" s="267">
        <f t="shared" si="9"/>
        <v>2338</v>
      </c>
      <c r="M13" s="267">
        <f t="shared" si="9"/>
        <v>2191</v>
      </c>
      <c r="N13" s="267">
        <f t="shared" si="9"/>
        <v>2974</v>
      </c>
      <c r="O13" s="267">
        <f t="shared" si="9"/>
        <v>0</v>
      </c>
      <c r="P13" s="267">
        <f t="shared" si="9"/>
        <v>0</v>
      </c>
      <c r="Q13" s="278">
        <f>SUM(Q6:Q12)</f>
        <v>22916</v>
      </c>
      <c r="R13" s="254"/>
      <c r="S13" s="267">
        <f>SUM(S6:S12)</f>
        <v>6381</v>
      </c>
      <c r="T13" s="267">
        <f t="shared" ref="T13:AD13" si="11">SUM(T6:T12)</f>
        <v>8259</v>
      </c>
      <c r="U13" s="267">
        <f t="shared" si="11"/>
        <v>6226</v>
      </c>
      <c r="V13" s="267">
        <f t="shared" si="11"/>
        <v>7275</v>
      </c>
      <c r="W13" s="267">
        <f t="shared" si="11"/>
        <v>6531</v>
      </c>
      <c r="X13" s="267">
        <f t="shared" ref="X13" si="12">SUM(X6:X12)</f>
        <v>6792</v>
      </c>
      <c r="Y13" s="267">
        <f t="shared" si="11"/>
        <v>7683</v>
      </c>
      <c r="Z13" s="267">
        <f t="shared" si="11"/>
        <v>6386</v>
      </c>
      <c r="AA13" s="267">
        <f t="shared" si="11"/>
        <v>6058</v>
      </c>
      <c r="AB13" s="267">
        <f t="shared" si="11"/>
        <v>7398</v>
      </c>
      <c r="AC13" s="267">
        <f t="shared" si="11"/>
        <v>0</v>
      </c>
      <c r="AD13" s="267">
        <f t="shared" si="11"/>
        <v>0</v>
      </c>
      <c r="AE13" s="278">
        <f>SUM(AE6:AE12)</f>
        <v>68989</v>
      </c>
      <c r="AF13" s="254"/>
      <c r="AG13" s="267">
        <f>SUM(AG6:AG12)</f>
        <v>626</v>
      </c>
      <c r="AH13" s="267">
        <f t="shared" ref="AH13:AR13" si="13">SUM(AH6:AH12)</f>
        <v>465</v>
      </c>
      <c r="AI13" s="267">
        <f t="shared" si="13"/>
        <v>661</v>
      </c>
      <c r="AJ13" s="267">
        <f t="shared" si="13"/>
        <v>750</v>
      </c>
      <c r="AK13" s="267">
        <f t="shared" si="13"/>
        <v>751</v>
      </c>
      <c r="AL13" s="267">
        <f t="shared" ref="AL13" si="14">SUM(AL6:AL12)</f>
        <v>806</v>
      </c>
      <c r="AM13" s="267">
        <f t="shared" si="13"/>
        <v>1024</v>
      </c>
      <c r="AN13" s="267">
        <f t="shared" si="13"/>
        <v>994</v>
      </c>
      <c r="AO13" s="267">
        <f t="shared" si="13"/>
        <v>775</v>
      </c>
      <c r="AP13" s="267">
        <f t="shared" si="13"/>
        <v>1035</v>
      </c>
      <c r="AQ13" s="267">
        <f t="shared" si="13"/>
        <v>0</v>
      </c>
      <c r="AR13" s="267">
        <f t="shared" si="13"/>
        <v>0</v>
      </c>
      <c r="AS13" s="278">
        <f>SUM(AS6:AS12)</f>
        <v>7887</v>
      </c>
      <c r="AT13" s="254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78"/>
      <c r="BH13" s="254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78"/>
      <c r="BV13" s="254"/>
      <c r="BW13" s="267">
        <f>SUM(BW6:BW12)</f>
        <v>162</v>
      </c>
      <c r="BX13" s="267">
        <f t="shared" ref="BX13:CH13" si="15">SUM(BX6:BX12)</f>
        <v>188</v>
      </c>
      <c r="BY13" s="267">
        <f t="shared" si="15"/>
        <v>176</v>
      </c>
      <c r="BZ13" s="267">
        <f t="shared" si="15"/>
        <v>159</v>
      </c>
      <c r="CA13" s="267">
        <f t="shared" si="15"/>
        <v>218</v>
      </c>
      <c r="CB13" s="267">
        <f t="shared" ref="CB13" si="16">SUM(CB6:CB12)</f>
        <v>286</v>
      </c>
      <c r="CC13" s="267">
        <f t="shared" si="15"/>
        <v>331</v>
      </c>
      <c r="CD13" s="267">
        <f t="shared" si="15"/>
        <v>337</v>
      </c>
      <c r="CE13" s="267">
        <f t="shared" si="15"/>
        <v>217</v>
      </c>
      <c r="CF13" s="267">
        <f t="shared" si="15"/>
        <v>272</v>
      </c>
      <c r="CG13" s="267">
        <f t="shared" si="15"/>
        <v>0</v>
      </c>
      <c r="CH13" s="267">
        <f t="shared" si="15"/>
        <v>0</v>
      </c>
      <c r="CI13" s="278">
        <f>SUM(CI6:CI12)</f>
        <v>2346</v>
      </c>
      <c r="CJ13" s="279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78"/>
      <c r="CX13" s="254"/>
      <c r="CY13" s="466">
        <f>SUM(CY6:CY12)</f>
        <v>9331</v>
      </c>
      <c r="CZ13" s="267">
        <f t="shared" ref="CZ13:DJ13" si="17">SUM(CZ6:CZ12)</f>
        <v>10331</v>
      </c>
      <c r="DA13" s="267">
        <f t="shared" si="17"/>
        <v>9022</v>
      </c>
      <c r="DB13" s="267">
        <f t="shared" si="17"/>
        <v>10387</v>
      </c>
      <c r="DC13" s="267">
        <f t="shared" si="17"/>
        <v>10323</v>
      </c>
      <c r="DD13" s="267">
        <f t="shared" si="17"/>
        <v>10220</v>
      </c>
      <c r="DE13" s="267">
        <f t="shared" si="17"/>
        <v>11549</v>
      </c>
      <c r="DF13" s="267">
        <f t="shared" si="17"/>
        <v>10055</v>
      </c>
      <c r="DG13" s="267">
        <f t="shared" si="17"/>
        <v>9241</v>
      </c>
      <c r="DH13" s="267">
        <f t="shared" si="17"/>
        <v>11679</v>
      </c>
      <c r="DI13" s="267">
        <f t="shared" si="17"/>
        <v>0</v>
      </c>
      <c r="DJ13" s="267">
        <f t="shared" si="17"/>
        <v>0</v>
      </c>
      <c r="DK13" s="466">
        <f>SUM(DK6:DK12)</f>
        <v>102138</v>
      </c>
      <c r="DL13" s="254"/>
      <c r="DM13" s="267">
        <f>SUM(DM6:DM12)</f>
        <v>933</v>
      </c>
      <c r="DN13" s="267">
        <f t="shared" ref="DN13:DX13" si="18">SUM(DN6:DN12)</f>
        <v>879</v>
      </c>
      <c r="DO13" s="267">
        <f t="shared" si="18"/>
        <v>947</v>
      </c>
      <c r="DP13" s="267">
        <f t="shared" si="18"/>
        <v>864</v>
      </c>
      <c r="DQ13" s="267">
        <f t="shared" si="18"/>
        <v>824</v>
      </c>
      <c r="DR13" s="267">
        <f t="shared" ref="DR13" si="19">SUM(DR6:DR12)</f>
        <v>1167</v>
      </c>
      <c r="DS13" s="267">
        <f t="shared" si="18"/>
        <v>1175</v>
      </c>
      <c r="DT13" s="267">
        <f t="shared" si="18"/>
        <v>689</v>
      </c>
      <c r="DU13" s="267">
        <f t="shared" si="18"/>
        <v>498</v>
      </c>
      <c r="DV13" s="267">
        <f t="shared" si="18"/>
        <v>636</v>
      </c>
      <c r="DW13" s="267">
        <f t="shared" si="18"/>
        <v>0</v>
      </c>
      <c r="DX13" s="267">
        <f t="shared" si="18"/>
        <v>0</v>
      </c>
      <c r="DY13" s="466">
        <f>SUM(DY6:DY12)</f>
        <v>8612</v>
      </c>
      <c r="DZ13" s="254"/>
      <c r="EA13" s="277"/>
      <c r="EB13" s="254"/>
      <c r="EC13" s="254"/>
    </row>
    <row r="14" spans="2:215" s="256" customFormat="1" ht="12" x14ac:dyDescent="0.2">
      <c r="C14" s="268"/>
      <c r="D14" s="268"/>
      <c r="E14" s="269"/>
      <c r="F14" s="269"/>
      <c r="G14" s="269"/>
      <c r="H14" s="269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69"/>
      <c r="T14" s="269"/>
      <c r="U14" s="269"/>
      <c r="V14" s="269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69"/>
      <c r="AH14" s="269"/>
      <c r="AI14" s="269"/>
      <c r="AJ14" s="269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69"/>
      <c r="AV14" s="269"/>
      <c r="AW14" s="269"/>
      <c r="AX14" s="269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69"/>
      <c r="BJ14" s="269"/>
      <c r="BK14" s="269"/>
      <c r="BL14" s="269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69"/>
      <c r="BX14" s="269"/>
      <c r="BY14" s="269"/>
      <c r="BZ14" s="269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69"/>
      <c r="CL14" s="269"/>
      <c r="CM14" s="269"/>
      <c r="CN14" s="269"/>
      <c r="CO14" s="254"/>
      <c r="CP14" s="254"/>
      <c r="CQ14" s="254"/>
      <c r="CR14" s="254"/>
      <c r="CS14" s="254"/>
      <c r="CT14" s="254"/>
      <c r="CU14" s="254"/>
      <c r="CV14" s="254"/>
      <c r="CW14" s="254"/>
      <c r="CX14" s="254"/>
      <c r="CY14" s="269"/>
      <c r="CZ14" s="269"/>
      <c r="DA14" s="269"/>
      <c r="DB14" s="269"/>
      <c r="DC14" s="254"/>
      <c r="DD14" s="254"/>
      <c r="DE14" s="254"/>
      <c r="DG14" s="254"/>
      <c r="DH14" s="254"/>
      <c r="DI14" s="254"/>
      <c r="DJ14" s="254"/>
      <c r="DK14" s="467"/>
      <c r="DL14" s="254"/>
      <c r="DM14" s="269"/>
      <c r="DN14" s="269"/>
      <c r="DO14" s="269"/>
      <c r="DP14" s="269"/>
      <c r="DQ14" s="254"/>
      <c r="DR14" s="254"/>
      <c r="DS14" s="254"/>
      <c r="DT14" s="254"/>
      <c r="DU14" s="254"/>
      <c r="DV14" s="254"/>
      <c r="DW14" s="254"/>
      <c r="DX14" s="254"/>
      <c r="DY14" s="467"/>
      <c r="DZ14" s="254"/>
      <c r="EA14" s="254"/>
      <c r="EB14" s="254"/>
      <c r="EC14" s="254"/>
    </row>
    <row r="15" spans="2:215" s="253" customFormat="1" ht="12" x14ac:dyDescent="0.2"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467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467"/>
      <c r="DZ15" s="254"/>
      <c r="EA15" s="254"/>
      <c r="EB15" s="254"/>
      <c r="EC15" s="254"/>
    </row>
    <row r="16" spans="2:215" s="253" customFormat="1" ht="12" x14ac:dyDescent="0.2"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467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467"/>
      <c r="DZ16" s="254"/>
      <c r="EA16" s="254"/>
      <c r="EB16" s="254"/>
      <c r="EC16" s="254"/>
    </row>
    <row r="17" spans="5:133" s="253" customFormat="1" ht="12" x14ac:dyDescent="0.2"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467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467"/>
      <c r="DZ17" s="254"/>
      <c r="EA17" s="254"/>
      <c r="EB17" s="254"/>
      <c r="EC17" s="254"/>
    </row>
    <row r="18" spans="5:133" s="253" customFormat="1" ht="12" x14ac:dyDescent="0.2"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467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467"/>
      <c r="DZ18" s="254"/>
      <c r="EA18" s="254"/>
      <c r="EB18" s="254"/>
      <c r="EC18" s="254"/>
    </row>
    <row r="19" spans="5:133" s="253" customFormat="1" ht="12" x14ac:dyDescent="0.2"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254"/>
      <c r="DF19" s="254"/>
      <c r="DG19" s="254"/>
      <c r="DH19" s="254"/>
      <c r="DI19" s="254"/>
      <c r="DJ19" s="254"/>
      <c r="DK19" s="467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467"/>
      <c r="DZ19" s="254"/>
      <c r="EA19" s="254"/>
      <c r="EB19" s="254"/>
      <c r="EC19" s="254"/>
    </row>
    <row r="20" spans="5:133" s="253" customFormat="1" ht="12" x14ac:dyDescent="0.2"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  <c r="DB20" s="254"/>
      <c r="DC20" s="254"/>
      <c r="DD20" s="254"/>
      <c r="DE20" s="254"/>
      <c r="DF20" s="254"/>
      <c r="DG20" s="254"/>
      <c r="DH20" s="254"/>
      <c r="DI20" s="254"/>
      <c r="DJ20" s="254"/>
      <c r="DK20" s="467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467"/>
      <c r="DZ20" s="254"/>
      <c r="EA20" s="254"/>
      <c r="EB20" s="254"/>
      <c r="EC20" s="254"/>
    </row>
    <row r="21" spans="5:133" s="253" customFormat="1" ht="12" x14ac:dyDescent="0.2"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4"/>
      <c r="DG21" s="254"/>
      <c r="DH21" s="254"/>
      <c r="DI21" s="254"/>
      <c r="DJ21" s="254"/>
      <c r="DK21" s="467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254"/>
      <c r="DX21" s="254"/>
      <c r="DY21" s="467"/>
      <c r="DZ21" s="254"/>
      <c r="EA21" s="254"/>
      <c r="EB21" s="254"/>
      <c r="EC21" s="254"/>
    </row>
    <row r="22" spans="5:133" s="253" customFormat="1" ht="12" x14ac:dyDescent="0.2"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4"/>
      <c r="DG22" s="254"/>
      <c r="DH22" s="254"/>
      <c r="DI22" s="254"/>
      <c r="DJ22" s="254"/>
      <c r="DK22" s="467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467"/>
      <c r="DZ22" s="254"/>
      <c r="EA22" s="254"/>
      <c r="EB22" s="254"/>
      <c r="EC22" s="254"/>
    </row>
    <row r="23" spans="5:133" s="253" customFormat="1" ht="12" x14ac:dyDescent="0.2"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467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467"/>
      <c r="DZ23" s="254"/>
      <c r="EA23" s="254"/>
      <c r="EB23" s="254"/>
      <c r="EC23" s="254"/>
    </row>
    <row r="24" spans="5:133" s="253" customFormat="1" ht="12" x14ac:dyDescent="0.2"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467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467"/>
      <c r="DZ24" s="254"/>
      <c r="EA24" s="254"/>
      <c r="EB24" s="254"/>
      <c r="EC24" s="254"/>
    </row>
    <row r="25" spans="5:133" s="253" customFormat="1" ht="12" x14ac:dyDescent="0.2"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467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467"/>
      <c r="DZ25" s="254"/>
      <c r="EA25" s="254"/>
      <c r="EB25" s="254"/>
      <c r="EC25" s="254"/>
    </row>
    <row r="26" spans="5:133" s="253" customFormat="1" ht="12" x14ac:dyDescent="0.2"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4"/>
      <c r="DG26" s="254"/>
      <c r="DH26" s="254"/>
      <c r="DI26" s="254"/>
      <c r="DJ26" s="254"/>
      <c r="DK26" s="467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467"/>
      <c r="DZ26" s="254"/>
      <c r="EA26" s="254"/>
      <c r="EB26" s="254"/>
      <c r="EC26" s="254"/>
    </row>
    <row r="27" spans="5:133" s="253" customFormat="1" ht="12" x14ac:dyDescent="0.2"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467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467"/>
      <c r="DZ27" s="254"/>
      <c r="EA27" s="254"/>
      <c r="EB27" s="254"/>
      <c r="EC27" s="254"/>
    </row>
    <row r="28" spans="5:133" s="253" customFormat="1" ht="12" x14ac:dyDescent="0.2"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467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467"/>
      <c r="DZ28" s="254"/>
      <c r="EA28" s="254"/>
      <c r="EB28" s="254"/>
      <c r="EC28" s="254"/>
    </row>
    <row r="29" spans="5:133" s="253" customFormat="1" ht="12" x14ac:dyDescent="0.2"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467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467"/>
      <c r="DZ29" s="254"/>
      <c r="EA29" s="254"/>
      <c r="EB29" s="254"/>
      <c r="EC29" s="254"/>
    </row>
    <row r="30" spans="5:133" s="253" customFormat="1" ht="12" x14ac:dyDescent="0.2"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254"/>
      <c r="DF30" s="254"/>
      <c r="DG30" s="254"/>
      <c r="DH30" s="254"/>
      <c r="DI30" s="254"/>
      <c r="DJ30" s="254"/>
      <c r="DK30" s="467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467"/>
      <c r="DZ30" s="254"/>
      <c r="EA30" s="254"/>
      <c r="EB30" s="254"/>
      <c r="EC30" s="254"/>
    </row>
    <row r="31" spans="5:133" s="253" customFormat="1" ht="12" x14ac:dyDescent="0.2"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467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467"/>
      <c r="DZ31" s="254"/>
      <c r="EA31" s="254"/>
      <c r="EB31" s="254"/>
      <c r="EC31" s="254"/>
    </row>
    <row r="32" spans="5:133" s="253" customFormat="1" ht="12" x14ac:dyDescent="0.2"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467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467"/>
      <c r="DZ32" s="254"/>
      <c r="EA32" s="254"/>
      <c r="EB32" s="254"/>
      <c r="EC32" s="254"/>
    </row>
    <row r="33" spans="5:133" s="253" customFormat="1" ht="12" x14ac:dyDescent="0.2"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467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467"/>
      <c r="DZ33" s="254"/>
      <c r="EA33" s="254"/>
      <c r="EB33" s="254"/>
      <c r="EC33" s="254"/>
    </row>
    <row r="34" spans="5:133" s="253" customFormat="1" ht="12" x14ac:dyDescent="0.2"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254"/>
      <c r="DF34" s="254"/>
      <c r="DG34" s="254"/>
      <c r="DH34" s="254"/>
      <c r="DI34" s="254"/>
      <c r="DJ34" s="254"/>
      <c r="DK34" s="467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467"/>
      <c r="DZ34" s="254"/>
      <c r="EA34" s="254"/>
      <c r="EB34" s="254"/>
      <c r="EC34" s="254"/>
    </row>
    <row r="35" spans="5:133" s="253" customFormat="1" ht="12" x14ac:dyDescent="0.2"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467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467"/>
      <c r="DZ35" s="254"/>
      <c r="EA35" s="254"/>
      <c r="EB35" s="254"/>
      <c r="EC35" s="254"/>
    </row>
    <row r="36" spans="5:133" s="253" customFormat="1" ht="12" x14ac:dyDescent="0.2"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467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467"/>
      <c r="DZ36" s="254"/>
      <c r="EA36" s="254"/>
      <c r="EB36" s="254"/>
      <c r="EC36" s="254"/>
    </row>
    <row r="37" spans="5:133" s="253" customFormat="1" ht="12" x14ac:dyDescent="0.2"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467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467"/>
      <c r="DZ37" s="254"/>
      <c r="EA37" s="254"/>
      <c r="EB37" s="254"/>
      <c r="EC37" s="254"/>
    </row>
    <row r="38" spans="5:133" s="253" customFormat="1" ht="12" x14ac:dyDescent="0.2"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467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467"/>
      <c r="DZ38" s="254"/>
      <c r="EA38" s="254"/>
      <c r="EB38" s="254"/>
      <c r="EC38" s="254"/>
    </row>
    <row r="39" spans="5:133" s="253" customFormat="1" ht="12" x14ac:dyDescent="0.2"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467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467"/>
      <c r="DZ39" s="254"/>
      <c r="EA39" s="254"/>
      <c r="EB39" s="254"/>
      <c r="EC39" s="254"/>
    </row>
    <row r="40" spans="5:133" s="253" customFormat="1" ht="12" x14ac:dyDescent="0.2"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467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467"/>
      <c r="DZ40" s="254"/>
      <c r="EA40" s="254"/>
      <c r="EB40" s="254"/>
      <c r="EC40" s="254"/>
    </row>
    <row r="41" spans="5:133" s="253" customFormat="1" ht="12" x14ac:dyDescent="0.2"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467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467"/>
      <c r="DZ41" s="254"/>
      <c r="EA41" s="254"/>
      <c r="EB41" s="254"/>
      <c r="EC41" s="254"/>
    </row>
    <row r="42" spans="5:133" s="253" customFormat="1" ht="12" x14ac:dyDescent="0.2"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Y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467"/>
      <c r="DL42" s="254"/>
      <c r="DM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467"/>
      <c r="DZ42" s="254"/>
      <c r="EA42" s="254"/>
      <c r="EB42" s="254"/>
      <c r="EC42" s="254"/>
    </row>
    <row r="43" spans="5:133" s="253" customFormat="1" ht="12" x14ac:dyDescent="0.2"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4"/>
      <c r="BW43" s="254"/>
      <c r="BX43" s="254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254"/>
      <c r="CN43" s="254"/>
      <c r="CO43" s="254"/>
      <c r="CP43" s="254"/>
      <c r="CQ43" s="254"/>
      <c r="CR43" s="254"/>
      <c r="CS43" s="254"/>
      <c r="CT43" s="254"/>
      <c r="CU43" s="254"/>
      <c r="CV43" s="254"/>
      <c r="CW43" s="254"/>
      <c r="CX43" s="254"/>
      <c r="CY43" s="254"/>
      <c r="CZ43" s="254"/>
      <c r="DA43" s="254"/>
      <c r="DB43" s="254"/>
      <c r="DC43" s="254"/>
      <c r="DD43" s="254"/>
      <c r="DE43" s="254"/>
      <c r="DF43" s="254"/>
      <c r="DG43" s="254"/>
      <c r="DH43" s="254"/>
      <c r="DI43" s="254"/>
      <c r="DJ43" s="254"/>
      <c r="DK43" s="467"/>
      <c r="DL43" s="254"/>
      <c r="DM43" s="254"/>
      <c r="DN43" s="254"/>
      <c r="DO43" s="254"/>
      <c r="DP43" s="254"/>
      <c r="DQ43" s="254"/>
      <c r="DR43" s="254"/>
      <c r="DS43" s="254"/>
      <c r="DT43" s="254"/>
      <c r="DU43" s="254"/>
      <c r="DV43" s="254"/>
      <c r="DW43" s="254"/>
      <c r="DX43" s="254"/>
      <c r="DY43" s="467"/>
      <c r="DZ43" s="254"/>
      <c r="EA43" s="254"/>
      <c r="EB43" s="254"/>
      <c r="EC43" s="254"/>
    </row>
    <row r="44" spans="5:133" s="253" customFormat="1" ht="12" x14ac:dyDescent="0.2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4"/>
      <c r="BW44" s="254"/>
      <c r="BX44" s="254"/>
      <c r="BY44" s="254"/>
      <c r="BZ44" s="254"/>
      <c r="CA44" s="254"/>
      <c r="CB44" s="254"/>
      <c r="CC44" s="254"/>
      <c r="CD44" s="254"/>
      <c r="CE44" s="254"/>
      <c r="CF44" s="254"/>
      <c r="CG44" s="254"/>
      <c r="CH44" s="254"/>
      <c r="CI44" s="254"/>
      <c r="CJ44" s="254"/>
      <c r="CK44" s="254"/>
      <c r="CL44" s="254"/>
      <c r="CM44" s="254"/>
      <c r="CN44" s="254"/>
      <c r="CO44" s="254"/>
      <c r="CP44" s="254"/>
      <c r="CQ44" s="254"/>
      <c r="CR44" s="254"/>
      <c r="CS44" s="254"/>
      <c r="CT44" s="254"/>
      <c r="CU44" s="254"/>
      <c r="CV44" s="254"/>
      <c r="CW44" s="254"/>
      <c r="CX44" s="254"/>
      <c r="CY44" s="254"/>
      <c r="CZ44" s="254"/>
      <c r="DA44" s="254"/>
      <c r="DB44" s="254"/>
      <c r="DC44" s="254"/>
      <c r="DD44" s="254"/>
      <c r="DE44" s="254"/>
      <c r="DF44" s="254"/>
      <c r="DG44" s="254"/>
      <c r="DH44" s="254"/>
      <c r="DI44" s="254"/>
      <c r="DJ44" s="254"/>
      <c r="DK44" s="467"/>
      <c r="DL44" s="254"/>
      <c r="DM44" s="254"/>
      <c r="DN44" s="254"/>
      <c r="DO44" s="254"/>
      <c r="DP44" s="254"/>
      <c r="DQ44" s="254"/>
      <c r="DR44" s="254"/>
      <c r="DS44" s="254"/>
      <c r="DT44" s="254"/>
      <c r="DU44" s="254"/>
      <c r="DV44" s="254"/>
      <c r="DW44" s="254"/>
      <c r="DX44" s="254"/>
      <c r="DY44" s="467"/>
      <c r="DZ44" s="254"/>
      <c r="EA44" s="254"/>
      <c r="EB44" s="254"/>
      <c r="EC44" s="254"/>
    </row>
    <row r="45" spans="5:133" s="253" customFormat="1" ht="12" x14ac:dyDescent="0.2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4"/>
      <c r="BW45" s="254"/>
      <c r="BX45" s="254"/>
      <c r="BY45" s="254"/>
      <c r="BZ45" s="254"/>
      <c r="CA45" s="254"/>
      <c r="CB45" s="254"/>
      <c r="CC45" s="254"/>
      <c r="CD45" s="254"/>
      <c r="CE45" s="254"/>
      <c r="CF45" s="254"/>
      <c r="CG45" s="254"/>
      <c r="CH45" s="254"/>
      <c r="CI45" s="254"/>
      <c r="CJ45" s="254"/>
      <c r="CK45" s="254"/>
      <c r="CL45" s="254"/>
      <c r="CM45" s="254"/>
      <c r="CN45" s="254"/>
      <c r="CO45" s="254"/>
      <c r="CP45" s="254"/>
      <c r="CQ45" s="254"/>
      <c r="CR45" s="254"/>
      <c r="CS45" s="254"/>
      <c r="CT45" s="254"/>
      <c r="CU45" s="254"/>
      <c r="CV45" s="254"/>
      <c r="CW45" s="254"/>
      <c r="CX45" s="254"/>
      <c r="CY45" s="254"/>
      <c r="CZ45" s="254"/>
      <c r="DA45" s="254"/>
      <c r="DB45" s="254"/>
      <c r="DC45" s="254"/>
      <c r="DD45" s="254"/>
      <c r="DE45" s="254"/>
      <c r="DF45" s="254"/>
      <c r="DG45" s="254"/>
      <c r="DH45" s="254"/>
      <c r="DI45" s="254"/>
      <c r="DJ45" s="254"/>
      <c r="DK45" s="467"/>
      <c r="DL45" s="254"/>
      <c r="DM45" s="254"/>
      <c r="DN45" s="254"/>
      <c r="DO45" s="254"/>
      <c r="DP45" s="254"/>
      <c r="DQ45" s="254"/>
      <c r="DR45" s="254"/>
      <c r="DS45" s="254"/>
      <c r="DT45" s="254"/>
      <c r="DU45" s="254"/>
      <c r="DV45" s="254"/>
      <c r="DW45" s="254"/>
      <c r="DX45" s="254"/>
      <c r="DY45" s="467"/>
      <c r="DZ45" s="254"/>
      <c r="EA45" s="254"/>
      <c r="EB45" s="254"/>
      <c r="EC45" s="254"/>
    </row>
    <row r="46" spans="5:133" s="253" customFormat="1" ht="12" x14ac:dyDescent="0.2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4"/>
      <c r="BW46" s="254"/>
      <c r="BX46" s="254"/>
      <c r="BY46" s="254"/>
      <c r="BZ46" s="254"/>
      <c r="CA46" s="254"/>
      <c r="CB46" s="254"/>
      <c r="CC46" s="254"/>
      <c r="CD46" s="254"/>
      <c r="CE46" s="254"/>
      <c r="CF46" s="254"/>
      <c r="CG46" s="254"/>
      <c r="CH46" s="254"/>
      <c r="CI46" s="254"/>
      <c r="CJ46" s="254"/>
      <c r="CK46" s="254"/>
      <c r="CL46" s="254"/>
      <c r="CM46" s="254"/>
      <c r="CN46" s="254"/>
      <c r="CO46" s="254"/>
      <c r="CP46" s="254"/>
      <c r="CQ46" s="254"/>
      <c r="CR46" s="254"/>
      <c r="CS46" s="254"/>
      <c r="CT46" s="254"/>
      <c r="CU46" s="254"/>
      <c r="CV46" s="254"/>
      <c r="CW46" s="254"/>
      <c r="CX46" s="254"/>
      <c r="CY46" s="254"/>
      <c r="CZ46" s="254"/>
      <c r="DA46" s="254"/>
      <c r="DB46" s="254"/>
      <c r="DC46" s="254"/>
      <c r="DD46" s="254"/>
      <c r="DE46" s="254"/>
      <c r="DF46" s="254"/>
      <c r="DG46" s="254"/>
      <c r="DH46" s="254"/>
      <c r="DI46" s="254"/>
      <c r="DJ46" s="254"/>
      <c r="DK46" s="467"/>
      <c r="DL46" s="254"/>
      <c r="DM46" s="254"/>
      <c r="DN46" s="254"/>
      <c r="DO46" s="254"/>
      <c r="DP46" s="254"/>
      <c r="DQ46" s="254"/>
      <c r="DR46" s="254"/>
      <c r="DS46" s="254"/>
      <c r="DT46" s="254"/>
      <c r="DU46" s="254"/>
      <c r="DV46" s="254"/>
      <c r="DW46" s="254"/>
      <c r="DX46" s="254"/>
      <c r="DY46" s="467"/>
      <c r="DZ46" s="254"/>
      <c r="EA46" s="254"/>
      <c r="EB46" s="254"/>
      <c r="EC46" s="254"/>
    </row>
    <row r="47" spans="5:133" s="253" customFormat="1" ht="12" x14ac:dyDescent="0.2"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4"/>
      <c r="BW47" s="254"/>
      <c r="BX47" s="254"/>
      <c r="BY47" s="254"/>
      <c r="BZ47" s="254"/>
      <c r="CA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254"/>
      <c r="CN47" s="254"/>
      <c r="CO47" s="254"/>
      <c r="CP47" s="254"/>
      <c r="CQ47" s="254"/>
      <c r="CR47" s="254"/>
      <c r="CS47" s="254"/>
      <c r="CT47" s="254"/>
      <c r="CU47" s="254"/>
      <c r="CV47" s="254"/>
      <c r="CW47" s="254"/>
      <c r="CX47" s="254"/>
      <c r="CY47" s="254"/>
      <c r="CZ47" s="254"/>
      <c r="DA47" s="254"/>
      <c r="DB47" s="254"/>
      <c r="DC47" s="254"/>
      <c r="DD47" s="254"/>
      <c r="DE47" s="254"/>
      <c r="DF47" s="254"/>
      <c r="DG47" s="254"/>
      <c r="DH47" s="254"/>
      <c r="DI47" s="254"/>
      <c r="DJ47" s="254"/>
      <c r="DK47" s="467"/>
      <c r="DL47" s="254"/>
      <c r="DM47" s="254"/>
      <c r="DN47" s="254"/>
      <c r="DO47" s="254"/>
      <c r="DP47" s="254"/>
      <c r="DQ47" s="254"/>
      <c r="DR47" s="254"/>
      <c r="DS47" s="254"/>
      <c r="DT47" s="254"/>
      <c r="DU47" s="254"/>
      <c r="DV47" s="254"/>
      <c r="DW47" s="254"/>
      <c r="DX47" s="254"/>
      <c r="DY47" s="467"/>
      <c r="DZ47" s="254"/>
      <c r="EA47" s="254"/>
      <c r="EB47" s="254"/>
      <c r="EC47" s="254"/>
    </row>
    <row r="48" spans="5:133" s="253" customFormat="1" ht="12" x14ac:dyDescent="0.2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4"/>
      <c r="BW48" s="254"/>
      <c r="BX48" s="254"/>
      <c r="BY48" s="254"/>
      <c r="BZ48" s="254"/>
      <c r="CA48" s="254"/>
      <c r="CB48" s="254"/>
      <c r="CC48" s="254"/>
      <c r="CD48" s="254"/>
      <c r="CE48" s="254"/>
      <c r="CF48" s="254"/>
      <c r="CG48" s="254"/>
      <c r="CH48" s="254"/>
      <c r="CI48" s="254"/>
      <c r="CJ48" s="254"/>
      <c r="CK48" s="254"/>
      <c r="CL48" s="254"/>
      <c r="CM48" s="254"/>
      <c r="CN48" s="254"/>
      <c r="CO48" s="254"/>
      <c r="CP48" s="254"/>
      <c r="CQ48" s="254"/>
      <c r="CR48" s="254"/>
      <c r="CS48" s="254"/>
      <c r="CT48" s="254"/>
      <c r="CU48" s="254"/>
      <c r="CV48" s="254"/>
      <c r="CW48" s="254"/>
      <c r="CX48" s="254"/>
      <c r="CY48" s="254"/>
      <c r="CZ48" s="254"/>
      <c r="DA48" s="254"/>
      <c r="DB48" s="254"/>
      <c r="DC48" s="254"/>
      <c r="DD48" s="254"/>
      <c r="DE48" s="254"/>
      <c r="DF48" s="254"/>
      <c r="DG48" s="254"/>
      <c r="DH48" s="254"/>
      <c r="DI48" s="254"/>
      <c r="DJ48" s="254"/>
      <c r="DK48" s="467"/>
      <c r="DL48" s="254"/>
      <c r="DM48" s="254"/>
      <c r="DN48" s="254"/>
      <c r="DO48" s="254"/>
      <c r="DP48" s="254"/>
      <c r="DQ48" s="254"/>
      <c r="DR48" s="254"/>
      <c r="DS48" s="254"/>
      <c r="DT48" s="254"/>
      <c r="DU48" s="254"/>
      <c r="DV48" s="254"/>
      <c r="DW48" s="254"/>
      <c r="DX48" s="254"/>
      <c r="DY48" s="467"/>
      <c r="DZ48" s="254"/>
      <c r="EA48" s="254"/>
      <c r="EB48" s="254"/>
      <c r="EC48" s="254"/>
    </row>
    <row r="49" spans="5:133" s="253" customFormat="1" ht="12" x14ac:dyDescent="0.2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4"/>
      <c r="BW49" s="254"/>
      <c r="BX49" s="254"/>
      <c r="BY49" s="254"/>
      <c r="BZ49" s="254"/>
      <c r="CA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254"/>
      <c r="CN49" s="254"/>
      <c r="CO49" s="254"/>
      <c r="CP49" s="254"/>
      <c r="CQ49" s="254"/>
      <c r="CR49" s="254"/>
      <c r="CS49" s="254"/>
      <c r="CT49" s="254"/>
      <c r="CU49" s="254"/>
      <c r="CV49" s="254"/>
      <c r="CW49" s="254"/>
      <c r="CX49" s="254"/>
      <c r="CY49" s="254"/>
      <c r="CZ49" s="254"/>
      <c r="DA49" s="254"/>
      <c r="DB49" s="254"/>
      <c r="DC49" s="254"/>
      <c r="DD49" s="254"/>
      <c r="DE49" s="254"/>
      <c r="DF49" s="254"/>
      <c r="DG49" s="254"/>
      <c r="DH49" s="254"/>
      <c r="DI49" s="254"/>
      <c r="DJ49" s="254"/>
      <c r="DK49" s="467"/>
      <c r="DL49" s="254"/>
      <c r="DM49" s="254"/>
      <c r="DN49" s="254"/>
      <c r="DO49" s="254"/>
      <c r="DP49" s="254"/>
      <c r="DQ49" s="254"/>
      <c r="DR49" s="254"/>
      <c r="DS49" s="254"/>
      <c r="DT49" s="254"/>
      <c r="DU49" s="254"/>
      <c r="DV49" s="254"/>
      <c r="DW49" s="254"/>
      <c r="DX49" s="254"/>
      <c r="DY49" s="467"/>
      <c r="DZ49" s="254"/>
      <c r="EA49" s="254"/>
      <c r="EB49" s="254"/>
      <c r="EC49" s="254"/>
    </row>
    <row r="50" spans="5:133" s="253" customFormat="1" ht="12" x14ac:dyDescent="0.2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467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467"/>
      <c r="DZ50" s="254"/>
      <c r="EA50" s="254"/>
      <c r="EB50" s="254"/>
      <c r="EC50" s="254"/>
    </row>
    <row r="51" spans="5:133" s="253" customFormat="1" ht="12" x14ac:dyDescent="0.2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254"/>
      <c r="DF51" s="254"/>
      <c r="DG51" s="254"/>
      <c r="DH51" s="254"/>
      <c r="DI51" s="254"/>
      <c r="DJ51" s="254"/>
      <c r="DK51" s="467"/>
      <c r="DL51" s="254"/>
      <c r="DM51" s="254"/>
      <c r="DN51" s="254"/>
      <c r="DO51" s="254"/>
      <c r="DP51" s="254"/>
      <c r="DQ51" s="254"/>
      <c r="DR51" s="254"/>
      <c r="DS51" s="254"/>
      <c r="DT51" s="254"/>
      <c r="DU51" s="254"/>
      <c r="DV51" s="254"/>
      <c r="DW51" s="254"/>
      <c r="DX51" s="254"/>
      <c r="DY51" s="467"/>
      <c r="DZ51" s="254"/>
      <c r="EA51" s="254"/>
      <c r="EB51" s="254"/>
      <c r="EC51" s="254"/>
    </row>
    <row r="52" spans="5:133" s="253" customFormat="1" ht="12" x14ac:dyDescent="0.2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4"/>
      <c r="BW52" s="254"/>
      <c r="BX52" s="254"/>
      <c r="BY52" s="254"/>
      <c r="BZ52" s="254"/>
      <c r="CA52" s="254"/>
      <c r="CB52" s="254"/>
      <c r="CC52" s="254"/>
      <c r="CD52" s="254"/>
      <c r="CE52" s="254"/>
      <c r="CF52" s="254"/>
      <c r="CG52" s="254"/>
      <c r="CH52" s="254"/>
      <c r="CI52" s="254"/>
      <c r="CJ52" s="254"/>
      <c r="CK52" s="254"/>
      <c r="CL52" s="254"/>
      <c r="CM52" s="254"/>
      <c r="CN52" s="254"/>
      <c r="CO52" s="254"/>
      <c r="CP52" s="254"/>
      <c r="CQ52" s="254"/>
      <c r="CR52" s="254"/>
      <c r="CS52" s="254"/>
      <c r="CT52" s="254"/>
      <c r="CU52" s="254"/>
      <c r="CV52" s="254"/>
      <c r="CW52" s="254"/>
      <c r="CX52" s="254"/>
      <c r="CY52" s="254"/>
      <c r="CZ52" s="254"/>
      <c r="DA52" s="254"/>
      <c r="DB52" s="254"/>
      <c r="DC52" s="254"/>
      <c r="DD52" s="254"/>
      <c r="DE52" s="254"/>
      <c r="DF52" s="254"/>
      <c r="DG52" s="254"/>
      <c r="DH52" s="254"/>
      <c r="DI52" s="254"/>
      <c r="DJ52" s="254"/>
      <c r="DK52" s="467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467"/>
      <c r="DZ52" s="254"/>
      <c r="EA52" s="254"/>
      <c r="EB52" s="254"/>
      <c r="EC52" s="254"/>
    </row>
    <row r="53" spans="5:133" s="253" customFormat="1" ht="12" x14ac:dyDescent="0.2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4"/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4"/>
      <c r="CN53" s="254"/>
      <c r="CO53" s="254"/>
      <c r="CP53" s="254"/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254"/>
      <c r="DF53" s="254"/>
      <c r="DG53" s="254"/>
      <c r="DH53" s="254"/>
      <c r="DI53" s="254"/>
      <c r="DJ53" s="254"/>
      <c r="DK53" s="467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254"/>
      <c r="DX53" s="254"/>
      <c r="DY53" s="467"/>
      <c r="DZ53" s="254"/>
      <c r="EA53" s="254"/>
      <c r="EB53" s="254"/>
      <c r="EC53" s="254"/>
    </row>
    <row r="54" spans="5:133" s="253" customFormat="1" ht="12" x14ac:dyDescent="0.2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4"/>
      <c r="BW54" s="254"/>
      <c r="BX54" s="254"/>
      <c r="BY54" s="254"/>
      <c r="BZ54" s="254"/>
      <c r="CA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254"/>
      <c r="CN54" s="254"/>
      <c r="CO54" s="254"/>
      <c r="CP54" s="254"/>
      <c r="CQ54" s="254"/>
      <c r="CR54" s="254"/>
      <c r="CS54" s="254"/>
      <c r="CT54" s="254"/>
      <c r="CU54" s="254"/>
      <c r="CV54" s="254"/>
      <c r="CW54" s="254"/>
      <c r="CX54" s="254"/>
      <c r="CY54" s="254"/>
      <c r="CZ54" s="254"/>
      <c r="DA54" s="254"/>
      <c r="DB54" s="254"/>
      <c r="DC54" s="254"/>
      <c r="DD54" s="254"/>
      <c r="DE54" s="254"/>
      <c r="DF54" s="254"/>
      <c r="DG54" s="254"/>
      <c r="DH54" s="254"/>
      <c r="DI54" s="254"/>
      <c r="DJ54" s="254"/>
      <c r="DK54" s="467"/>
      <c r="DL54" s="254"/>
      <c r="DM54" s="254"/>
      <c r="DN54" s="254"/>
      <c r="DO54" s="254"/>
      <c r="DP54" s="254"/>
      <c r="DQ54" s="254"/>
      <c r="DR54" s="254"/>
      <c r="DS54" s="254"/>
      <c r="DT54" s="254"/>
      <c r="DU54" s="254"/>
      <c r="DV54" s="254"/>
      <c r="DW54" s="254"/>
      <c r="DX54" s="254"/>
      <c r="DY54" s="467"/>
      <c r="DZ54" s="254"/>
      <c r="EA54" s="254"/>
      <c r="EB54" s="254"/>
      <c r="EC54" s="254"/>
    </row>
    <row r="55" spans="5:133" s="253" customFormat="1" ht="12" x14ac:dyDescent="0.2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4"/>
      <c r="BW55" s="254"/>
      <c r="BX55" s="254"/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467"/>
      <c r="DL55" s="254"/>
      <c r="DM55" s="254"/>
      <c r="DN55" s="254"/>
      <c r="DO55" s="254"/>
      <c r="DP55" s="254"/>
      <c r="DQ55" s="254"/>
      <c r="DR55" s="254"/>
      <c r="DS55" s="254"/>
      <c r="DT55" s="254"/>
      <c r="DU55" s="254"/>
      <c r="DV55" s="254"/>
      <c r="DW55" s="254"/>
      <c r="DX55" s="254"/>
      <c r="DY55" s="467"/>
      <c r="DZ55" s="254"/>
      <c r="EA55" s="254"/>
      <c r="EB55" s="254"/>
      <c r="EC55" s="254"/>
    </row>
    <row r="56" spans="5:133" s="253" customFormat="1" ht="12" x14ac:dyDescent="0.2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4"/>
      <c r="BW56" s="254"/>
      <c r="BX56" s="254"/>
      <c r="BY56" s="254"/>
      <c r="BZ56" s="254"/>
      <c r="CA56" s="254"/>
      <c r="CB56" s="254"/>
      <c r="CC56" s="254"/>
      <c r="CD56" s="254"/>
      <c r="CE56" s="254"/>
      <c r="CF56" s="254"/>
      <c r="CG56" s="254"/>
      <c r="CH56" s="254"/>
      <c r="CI56" s="254"/>
      <c r="CJ56" s="254"/>
      <c r="CK56" s="254"/>
      <c r="CL56" s="254"/>
      <c r="CM56" s="254"/>
      <c r="CN56" s="254"/>
      <c r="CO56" s="254"/>
      <c r="CP56" s="254"/>
      <c r="CQ56" s="254"/>
      <c r="CR56" s="254"/>
      <c r="CS56" s="254"/>
      <c r="CT56" s="254"/>
      <c r="CU56" s="254"/>
      <c r="CV56" s="254"/>
      <c r="CW56" s="254"/>
      <c r="CX56" s="254"/>
      <c r="CY56" s="254"/>
      <c r="CZ56" s="254"/>
      <c r="DA56" s="254"/>
      <c r="DB56" s="254"/>
      <c r="DC56" s="254"/>
      <c r="DD56" s="254"/>
      <c r="DE56" s="254"/>
      <c r="DF56" s="254"/>
      <c r="DG56" s="254"/>
      <c r="DH56" s="254"/>
      <c r="DI56" s="254"/>
      <c r="DJ56" s="254"/>
      <c r="DK56" s="467"/>
      <c r="DL56" s="254"/>
      <c r="DM56" s="254"/>
      <c r="DN56" s="254"/>
      <c r="DO56" s="254"/>
      <c r="DP56" s="254"/>
      <c r="DQ56" s="254"/>
      <c r="DR56" s="254"/>
      <c r="DS56" s="254"/>
      <c r="DT56" s="254"/>
      <c r="DU56" s="254"/>
      <c r="DV56" s="254"/>
      <c r="DW56" s="254"/>
      <c r="DX56" s="254"/>
      <c r="DY56" s="467"/>
      <c r="DZ56" s="254"/>
      <c r="EA56" s="254"/>
      <c r="EB56" s="254"/>
      <c r="EC56" s="254"/>
    </row>
    <row r="57" spans="5:133" s="253" customFormat="1" ht="12" x14ac:dyDescent="0.2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4"/>
      <c r="BW57" s="254"/>
      <c r="BX57" s="254"/>
      <c r="BY57" s="254"/>
      <c r="BZ57" s="254"/>
      <c r="CA57" s="254"/>
      <c r="CB57" s="254"/>
      <c r="CC57" s="254"/>
      <c r="CD57" s="254"/>
      <c r="CE57" s="254"/>
      <c r="CF57" s="254"/>
      <c r="CG57" s="254"/>
      <c r="CH57" s="254"/>
      <c r="CI57" s="254"/>
      <c r="CJ57" s="254"/>
      <c r="CK57" s="254"/>
      <c r="CL57" s="254"/>
      <c r="CM57" s="254"/>
      <c r="CN57" s="254"/>
      <c r="CO57" s="254"/>
      <c r="CP57" s="254"/>
      <c r="CQ57" s="254"/>
      <c r="CR57" s="254"/>
      <c r="CS57" s="254"/>
      <c r="CT57" s="254"/>
      <c r="CU57" s="254"/>
      <c r="CV57" s="254"/>
      <c r="CW57" s="254"/>
      <c r="CX57" s="254"/>
      <c r="CY57" s="254"/>
      <c r="CZ57" s="254"/>
      <c r="DA57" s="254"/>
      <c r="DB57" s="254"/>
      <c r="DC57" s="254"/>
      <c r="DD57" s="254"/>
      <c r="DE57" s="254"/>
      <c r="DF57" s="254"/>
      <c r="DG57" s="254"/>
      <c r="DH57" s="254"/>
      <c r="DI57" s="254"/>
      <c r="DJ57" s="254"/>
      <c r="DK57" s="467"/>
      <c r="DL57" s="254"/>
      <c r="DM57" s="254"/>
      <c r="DN57" s="254"/>
      <c r="DO57" s="254"/>
      <c r="DP57" s="254"/>
      <c r="DQ57" s="254"/>
      <c r="DR57" s="254"/>
      <c r="DS57" s="254"/>
      <c r="DT57" s="254"/>
      <c r="DU57" s="254"/>
      <c r="DV57" s="254"/>
      <c r="DW57" s="254"/>
      <c r="DX57" s="254"/>
      <c r="DY57" s="467"/>
      <c r="DZ57" s="254"/>
      <c r="EA57" s="254"/>
      <c r="EB57" s="254"/>
      <c r="EC57" s="254"/>
    </row>
    <row r="58" spans="5:133" s="253" customFormat="1" ht="12" x14ac:dyDescent="0.2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A58" s="254"/>
      <c r="CB58" s="254"/>
      <c r="CC58" s="254"/>
      <c r="CD58" s="254"/>
      <c r="CE58" s="254"/>
      <c r="CF58" s="254"/>
      <c r="CG58" s="254"/>
      <c r="CH58" s="254"/>
      <c r="CI58" s="254"/>
      <c r="CJ58" s="254"/>
      <c r="CK58" s="254"/>
      <c r="CL58" s="254"/>
      <c r="CM58" s="254"/>
      <c r="CN58" s="254"/>
      <c r="CO58" s="254"/>
      <c r="CP58" s="254"/>
      <c r="CQ58" s="254"/>
      <c r="CR58" s="254"/>
      <c r="CS58" s="254"/>
      <c r="CT58" s="254"/>
      <c r="CU58" s="254"/>
      <c r="CV58" s="254"/>
      <c r="CW58" s="254"/>
      <c r="CX58" s="254"/>
      <c r="CY58" s="254"/>
      <c r="CZ58" s="254"/>
      <c r="DA58" s="254"/>
      <c r="DB58" s="254"/>
      <c r="DC58" s="254"/>
      <c r="DD58" s="254"/>
      <c r="DE58" s="254"/>
      <c r="DF58" s="254"/>
      <c r="DG58" s="254"/>
      <c r="DH58" s="254"/>
      <c r="DI58" s="254"/>
      <c r="DJ58" s="254"/>
      <c r="DK58" s="467"/>
      <c r="DL58" s="254"/>
      <c r="DM58" s="254"/>
      <c r="DN58" s="254"/>
      <c r="DO58" s="254"/>
      <c r="DP58" s="254"/>
      <c r="DQ58" s="254"/>
      <c r="DR58" s="254"/>
      <c r="DS58" s="254"/>
      <c r="DT58" s="254"/>
      <c r="DU58" s="254"/>
      <c r="DV58" s="254"/>
      <c r="DW58" s="254"/>
      <c r="DX58" s="254"/>
      <c r="DY58" s="467"/>
      <c r="DZ58" s="254"/>
      <c r="EA58" s="254"/>
      <c r="EB58" s="254"/>
      <c r="EC58" s="254"/>
    </row>
    <row r="59" spans="5:133" s="253" customFormat="1" ht="12" x14ac:dyDescent="0.2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467"/>
      <c r="DL59" s="254"/>
      <c r="DM59" s="254"/>
      <c r="DN59" s="254"/>
      <c r="DO59" s="254"/>
      <c r="DP59" s="254"/>
      <c r="DQ59" s="254"/>
      <c r="DR59" s="254"/>
      <c r="DS59" s="254"/>
      <c r="DT59" s="254"/>
      <c r="DU59" s="254"/>
      <c r="DV59" s="254"/>
      <c r="DW59" s="254"/>
      <c r="DX59" s="254"/>
      <c r="DY59" s="467"/>
      <c r="DZ59" s="254"/>
      <c r="EA59" s="254"/>
      <c r="EB59" s="254"/>
      <c r="EC59" s="254"/>
    </row>
    <row r="60" spans="5:133" s="253" customFormat="1" ht="12" x14ac:dyDescent="0.2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4"/>
      <c r="BW60" s="254"/>
      <c r="BX60" s="254"/>
      <c r="BY60" s="254"/>
      <c r="BZ60" s="254"/>
      <c r="CA60" s="254"/>
      <c r="CB60" s="254"/>
      <c r="CC60" s="254"/>
      <c r="CD60" s="254"/>
      <c r="CE60" s="254"/>
      <c r="CF60" s="254"/>
      <c r="CG60" s="254"/>
      <c r="CH60" s="254"/>
      <c r="CI60" s="254"/>
      <c r="CJ60" s="254"/>
      <c r="CK60" s="254"/>
      <c r="CL60" s="254"/>
      <c r="CM60" s="254"/>
      <c r="CN60" s="254"/>
      <c r="CO60" s="254"/>
      <c r="CP60" s="254"/>
      <c r="CQ60" s="254"/>
      <c r="CR60" s="254"/>
      <c r="CS60" s="254"/>
      <c r="CT60" s="254"/>
      <c r="CU60" s="254"/>
      <c r="CV60" s="254"/>
      <c r="CW60" s="254"/>
      <c r="CX60" s="254"/>
      <c r="CY60" s="254"/>
      <c r="CZ60" s="254"/>
      <c r="DA60" s="254"/>
      <c r="DB60" s="254"/>
      <c r="DC60" s="254"/>
      <c r="DD60" s="254"/>
      <c r="DE60" s="254"/>
      <c r="DF60" s="254"/>
      <c r="DG60" s="254"/>
      <c r="DH60" s="254"/>
      <c r="DI60" s="254"/>
      <c r="DJ60" s="254"/>
      <c r="DK60" s="467"/>
      <c r="DL60" s="254"/>
      <c r="DM60" s="254"/>
      <c r="DN60" s="254"/>
      <c r="DO60" s="254"/>
      <c r="DP60" s="254"/>
      <c r="DQ60" s="254"/>
      <c r="DR60" s="254"/>
      <c r="DS60" s="254"/>
      <c r="DT60" s="254"/>
      <c r="DU60" s="254"/>
      <c r="DV60" s="254"/>
      <c r="DW60" s="254"/>
      <c r="DX60" s="254"/>
      <c r="DY60" s="467"/>
      <c r="DZ60" s="254"/>
      <c r="EA60" s="254"/>
      <c r="EB60" s="254"/>
      <c r="EC60" s="254"/>
    </row>
    <row r="61" spans="5:133" s="253" customFormat="1" ht="12" x14ac:dyDescent="0.2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4"/>
      <c r="BW61" s="254"/>
      <c r="BX61" s="254"/>
      <c r="BY61" s="254"/>
      <c r="BZ61" s="254"/>
      <c r="CA61" s="254"/>
      <c r="CB61" s="254"/>
      <c r="CC61" s="254"/>
      <c r="CD61" s="254"/>
      <c r="CE61" s="254"/>
      <c r="CF61" s="254"/>
      <c r="CG61" s="254"/>
      <c r="CH61" s="254"/>
      <c r="CI61" s="254"/>
      <c r="CJ61" s="254"/>
      <c r="CK61" s="254"/>
      <c r="CL61" s="254"/>
      <c r="CM61" s="254"/>
      <c r="CN61" s="254"/>
      <c r="CO61" s="254"/>
      <c r="CP61" s="254"/>
      <c r="CQ61" s="254"/>
      <c r="CR61" s="254"/>
      <c r="CS61" s="254"/>
      <c r="CT61" s="254"/>
      <c r="CU61" s="254"/>
      <c r="CV61" s="254"/>
      <c r="CW61" s="254"/>
      <c r="CX61" s="254"/>
      <c r="CY61" s="254"/>
      <c r="CZ61" s="254"/>
      <c r="DA61" s="254"/>
      <c r="DB61" s="254"/>
      <c r="DC61" s="254"/>
      <c r="DD61" s="254"/>
      <c r="DE61" s="254"/>
      <c r="DF61" s="254"/>
      <c r="DG61" s="254"/>
      <c r="DH61" s="254"/>
      <c r="DI61" s="254"/>
      <c r="DJ61" s="254"/>
      <c r="DK61" s="467"/>
      <c r="DL61" s="254"/>
      <c r="DM61" s="254"/>
      <c r="DN61" s="254"/>
      <c r="DO61" s="254"/>
      <c r="DP61" s="254"/>
      <c r="DQ61" s="254"/>
      <c r="DR61" s="254"/>
      <c r="DS61" s="254"/>
      <c r="DT61" s="254"/>
      <c r="DU61" s="254"/>
      <c r="DV61" s="254"/>
      <c r="DW61" s="254"/>
      <c r="DX61" s="254"/>
      <c r="DY61" s="467"/>
      <c r="DZ61" s="254"/>
      <c r="EA61" s="254"/>
      <c r="EB61" s="254"/>
      <c r="EC61" s="254"/>
    </row>
    <row r="62" spans="5:133" s="253" customFormat="1" ht="12" x14ac:dyDescent="0.2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4"/>
      <c r="BW62" s="254"/>
      <c r="BX62" s="254"/>
      <c r="BY62" s="254"/>
      <c r="BZ62" s="254"/>
      <c r="CA62" s="254"/>
      <c r="CB62" s="254"/>
      <c r="CC62" s="254"/>
      <c r="CD62" s="254"/>
      <c r="CE62" s="254"/>
      <c r="CF62" s="254"/>
      <c r="CG62" s="254"/>
      <c r="CH62" s="254"/>
      <c r="CI62" s="254"/>
      <c r="CJ62" s="254"/>
      <c r="CK62" s="254"/>
      <c r="CL62" s="254"/>
      <c r="CM62" s="254"/>
      <c r="CN62" s="254"/>
      <c r="CO62" s="254"/>
      <c r="CP62" s="254"/>
      <c r="CQ62" s="254"/>
      <c r="CR62" s="254"/>
      <c r="CS62" s="254"/>
      <c r="CT62" s="254"/>
      <c r="CU62" s="254"/>
      <c r="CV62" s="254"/>
      <c r="CW62" s="254"/>
      <c r="CX62" s="254"/>
      <c r="CY62" s="254"/>
      <c r="CZ62" s="254"/>
      <c r="DA62" s="254"/>
      <c r="DB62" s="254"/>
      <c r="DC62" s="254"/>
      <c r="DD62" s="254"/>
      <c r="DE62" s="254"/>
      <c r="DF62" s="254"/>
      <c r="DG62" s="254"/>
      <c r="DH62" s="254"/>
      <c r="DI62" s="254"/>
      <c r="DJ62" s="254"/>
      <c r="DK62" s="467"/>
      <c r="DL62" s="254"/>
      <c r="DM62" s="254"/>
      <c r="DN62" s="254"/>
      <c r="DO62" s="254"/>
      <c r="DP62" s="254"/>
      <c r="DQ62" s="254"/>
      <c r="DR62" s="254"/>
      <c r="DS62" s="254"/>
      <c r="DT62" s="254"/>
      <c r="DU62" s="254"/>
      <c r="DV62" s="254"/>
      <c r="DW62" s="254"/>
      <c r="DX62" s="254"/>
      <c r="DY62" s="467"/>
      <c r="DZ62" s="254"/>
      <c r="EA62" s="254"/>
      <c r="EB62" s="254"/>
      <c r="EC62" s="254"/>
    </row>
    <row r="63" spans="5:133" s="253" customFormat="1" ht="12" x14ac:dyDescent="0.2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4"/>
      <c r="BT63" s="254"/>
      <c r="BU63" s="254"/>
      <c r="BV63" s="254"/>
      <c r="BW63" s="254"/>
      <c r="BX63" s="254"/>
      <c r="BY63" s="254"/>
      <c r="BZ63" s="254"/>
      <c r="CA63" s="254"/>
      <c r="CB63" s="254"/>
      <c r="CC63" s="254"/>
      <c r="CD63" s="254"/>
      <c r="CE63" s="254"/>
      <c r="CF63" s="254"/>
      <c r="CG63" s="254"/>
      <c r="CH63" s="254"/>
      <c r="CI63" s="254"/>
      <c r="CJ63" s="254"/>
      <c r="CK63" s="254"/>
      <c r="CL63" s="254"/>
      <c r="CM63" s="254"/>
      <c r="CN63" s="254"/>
      <c r="CO63" s="254"/>
      <c r="CP63" s="254"/>
      <c r="CQ63" s="254"/>
      <c r="CR63" s="254"/>
      <c r="CS63" s="254"/>
      <c r="CT63" s="254"/>
      <c r="CU63" s="254"/>
      <c r="CV63" s="254"/>
      <c r="CW63" s="254"/>
      <c r="CX63" s="254"/>
      <c r="CY63" s="254"/>
      <c r="CZ63" s="254"/>
      <c r="DA63" s="254"/>
      <c r="DB63" s="254"/>
      <c r="DC63" s="254"/>
      <c r="DD63" s="254"/>
      <c r="DE63" s="254"/>
      <c r="DF63" s="254"/>
      <c r="DG63" s="254"/>
      <c r="DH63" s="254"/>
      <c r="DI63" s="254"/>
      <c r="DJ63" s="254"/>
      <c r="DK63" s="467"/>
      <c r="DL63" s="254"/>
      <c r="DM63" s="254"/>
      <c r="DN63" s="254"/>
      <c r="DO63" s="254"/>
      <c r="DP63" s="254"/>
      <c r="DQ63" s="254"/>
      <c r="DR63" s="254"/>
      <c r="DS63" s="254"/>
      <c r="DT63" s="254"/>
      <c r="DU63" s="254"/>
      <c r="DV63" s="254"/>
      <c r="DW63" s="254"/>
      <c r="DX63" s="254"/>
      <c r="DY63" s="467"/>
      <c r="DZ63" s="254"/>
      <c r="EA63" s="254"/>
      <c r="EB63" s="254"/>
      <c r="EC63" s="254"/>
    </row>
    <row r="64" spans="5:133" s="253" customFormat="1" ht="12" x14ac:dyDescent="0.2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4"/>
      <c r="BS64" s="254"/>
      <c r="BT64" s="254"/>
      <c r="BU64" s="254"/>
      <c r="BV64" s="254"/>
      <c r="BW64" s="254"/>
      <c r="BX64" s="254"/>
      <c r="BY64" s="254"/>
      <c r="BZ64" s="254"/>
      <c r="CA64" s="254"/>
      <c r="CB64" s="254"/>
      <c r="CC64" s="254"/>
      <c r="CD64" s="254"/>
      <c r="CE64" s="254"/>
      <c r="CF64" s="254"/>
      <c r="CG64" s="254"/>
      <c r="CH64" s="254"/>
      <c r="CI64" s="254"/>
      <c r="CJ64" s="254"/>
      <c r="CK64" s="254"/>
      <c r="CL64" s="254"/>
      <c r="CM64" s="254"/>
      <c r="CN64" s="254"/>
      <c r="CO64" s="254"/>
      <c r="CP64" s="254"/>
      <c r="CQ64" s="254"/>
      <c r="CR64" s="254"/>
      <c r="CS64" s="254"/>
      <c r="CT64" s="254"/>
      <c r="CU64" s="254"/>
      <c r="CV64" s="254"/>
      <c r="CW64" s="254"/>
      <c r="CX64" s="254"/>
      <c r="CY64" s="254"/>
      <c r="CZ64" s="254"/>
      <c r="DA64" s="254"/>
      <c r="DB64" s="254"/>
      <c r="DC64" s="254"/>
      <c r="DD64" s="254"/>
      <c r="DE64" s="254"/>
      <c r="DF64" s="254"/>
      <c r="DG64" s="254"/>
      <c r="DH64" s="254"/>
      <c r="DI64" s="254"/>
      <c r="DJ64" s="254"/>
      <c r="DK64" s="467"/>
      <c r="DL64" s="254"/>
      <c r="DM64" s="254"/>
      <c r="DN64" s="254"/>
      <c r="DO64" s="254"/>
      <c r="DP64" s="254"/>
      <c r="DQ64" s="254"/>
      <c r="DR64" s="254"/>
      <c r="DS64" s="254"/>
      <c r="DT64" s="254"/>
      <c r="DU64" s="254"/>
      <c r="DV64" s="254"/>
      <c r="DW64" s="254"/>
      <c r="DX64" s="254"/>
      <c r="DY64" s="467"/>
      <c r="DZ64" s="254"/>
      <c r="EA64" s="254"/>
      <c r="EB64" s="254"/>
      <c r="EC64" s="254"/>
    </row>
    <row r="65" spans="2:216" s="253" customFormat="1" ht="12" x14ac:dyDescent="0.2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4"/>
      <c r="BW65" s="254"/>
      <c r="BX65" s="254"/>
      <c r="BY65" s="254"/>
      <c r="BZ65" s="254"/>
      <c r="CA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467"/>
      <c r="DL65" s="254"/>
      <c r="DM65" s="254"/>
      <c r="DN65" s="254"/>
      <c r="DO65" s="254"/>
      <c r="DP65" s="254"/>
      <c r="DQ65" s="254"/>
      <c r="DR65" s="254"/>
      <c r="DS65" s="254"/>
      <c r="DT65" s="254"/>
      <c r="DU65" s="254"/>
      <c r="DV65" s="254"/>
      <c r="DW65" s="254"/>
      <c r="DX65" s="254"/>
      <c r="DY65" s="467"/>
      <c r="DZ65" s="254"/>
      <c r="EA65" s="254"/>
      <c r="EB65" s="254"/>
      <c r="EC65" s="254"/>
    </row>
    <row r="66" spans="2:216" s="253" customFormat="1" ht="12" x14ac:dyDescent="0.2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54"/>
      <c r="BS66" s="254"/>
      <c r="BT66" s="254"/>
      <c r="BU66" s="254"/>
      <c r="BV66" s="254"/>
      <c r="BW66" s="254"/>
      <c r="BX66" s="254"/>
      <c r="BY66" s="254"/>
      <c r="BZ66" s="254"/>
      <c r="CA66" s="254"/>
      <c r="CB66" s="254"/>
      <c r="CC66" s="254"/>
      <c r="CD66" s="254"/>
      <c r="CE66" s="254"/>
      <c r="CF66" s="254"/>
      <c r="CG66" s="254"/>
      <c r="CH66" s="254"/>
      <c r="CI66" s="254"/>
      <c r="CJ66" s="254"/>
      <c r="CK66" s="254"/>
      <c r="CL66" s="254"/>
      <c r="CM66" s="254"/>
      <c r="CN66" s="254"/>
      <c r="CO66" s="254"/>
      <c r="CP66" s="254"/>
      <c r="CQ66" s="254"/>
      <c r="CR66" s="254"/>
      <c r="CS66" s="254"/>
      <c r="CT66" s="254"/>
      <c r="CU66" s="254"/>
      <c r="CV66" s="254"/>
      <c r="CW66" s="254"/>
      <c r="CX66" s="254"/>
      <c r="CY66" s="254"/>
      <c r="CZ66" s="254"/>
      <c r="DA66" s="254"/>
      <c r="DB66" s="254"/>
      <c r="DC66" s="254"/>
      <c r="DD66" s="254"/>
      <c r="DE66" s="254"/>
      <c r="DF66" s="254"/>
      <c r="DG66" s="254"/>
      <c r="DH66" s="254"/>
      <c r="DI66" s="254"/>
      <c r="DJ66" s="254"/>
      <c r="DK66" s="467"/>
      <c r="DL66" s="254"/>
      <c r="DM66" s="254"/>
      <c r="DN66" s="254"/>
      <c r="DO66" s="254"/>
      <c r="DP66" s="254"/>
      <c r="DQ66" s="254"/>
      <c r="DR66" s="254"/>
      <c r="DS66" s="254"/>
      <c r="DT66" s="254"/>
      <c r="DU66" s="254"/>
      <c r="DV66" s="254"/>
      <c r="DW66" s="254"/>
      <c r="DX66" s="254"/>
      <c r="DY66" s="467"/>
      <c r="DZ66" s="254"/>
      <c r="EA66" s="254"/>
      <c r="EB66" s="254"/>
      <c r="EC66" s="254"/>
    </row>
    <row r="67" spans="2:216" s="253" customFormat="1" ht="12" x14ac:dyDescent="0.2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4"/>
      <c r="BW67" s="254"/>
      <c r="BX67" s="254"/>
      <c r="BY67" s="254"/>
      <c r="BZ67" s="254"/>
      <c r="CA67" s="254"/>
      <c r="CB67" s="254"/>
      <c r="CC67" s="254"/>
      <c r="CD67" s="254"/>
      <c r="CE67" s="254"/>
      <c r="CF67" s="254"/>
      <c r="CG67" s="254"/>
      <c r="CH67" s="254"/>
      <c r="CI67" s="254"/>
      <c r="CJ67" s="254"/>
      <c r="CK67" s="254"/>
      <c r="CL67" s="254"/>
      <c r="CM67" s="254"/>
      <c r="CN67" s="254"/>
      <c r="CO67" s="254"/>
      <c r="CP67" s="254"/>
      <c r="CQ67" s="254"/>
      <c r="CR67" s="254"/>
      <c r="CS67" s="254"/>
      <c r="CT67" s="254"/>
      <c r="CU67" s="254"/>
      <c r="CV67" s="254"/>
      <c r="CW67" s="254"/>
      <c r="CX67" s="254"/>
      <c r="CY67" s="254"/>
      <c r="CZ67" s="254"/>
      <c r="DA67" s="254"/>
      <c r="DB67" s="254"/>
      <c r="DC67" s="254"/>
      <c r="DD67" s="254"/>
      <c r="DE67" s="254"/>
      <c r="DF67" s="254"/>
      <c r="DG67" s="254"/>
      <c r="DH67" s="254"/>
      <c r="DI67" s="254"/>
      <c r="DJ67" s="254"/>
      <c r="DK67" s="467"/>
      <c r="DL67" s="254"/>
      <c r="DM67" s="254"/>
      <c r="DN67" s="254"/>
      <c r="DO67" s="254"/>
      <c r="DP67" s="254"/>
      <c r="DQ67" s="254"/>
      <c r="DR67" s="254"/>
      <c r="DS67" s="254"/>
      <c r="DT67" s="254"/>
      <c r="DU67" s="254"/>
      <c r="DV67" s="254"/>
      <c r="DW67" s="254"/>
      <c r="DX67" s="254"/>
      <c r="DY67" s="467"/>
      <c r="DZ67" s="254"/>
      <c r="EA67" s="254"/>
      <c r="EB67" s="254"/>
      <c r="EC67" s="254"/>
    </row>
    <row r="68" spans="2:216" s="253" customFormat="1" ht="12" x14ac:dyDescent="0.2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BQ68" s="254"/>
      <c r="BR68" s="254"/>
      <c r="BS68" s="254"/>
      <c r="BT68" s="254"/>
      <c r="BU68" s="254"/>
      <c r="BV68" s="254"/>
      <c r="BW68" s="254"/>
      <c r="BX68" s="254"/>
      <c r="BY68" s="254"/>
      <c r="BZ68" s="254"/>
      <c r="CA68" s="254"/>
      <c r="CB68" s="254"/>
      <c r="CC68" s="254"/>
      <c r="CD68" s="254"/>
      <c r="CE68" s="254"/>
      <c r="CF68" s="254"/>
      <c r="CG68" s="254"/>
      <c r="CH68" s="254"/>
      <c r="CI68" s="254"/>
      <c r="CJ68" s="254"/>
      <c r="CK68" s="254"/>
      <c r="CL68" s="254"/>
      <c r="CM68" s="254"/>
      <c r="CN68" s="254"/>
      <c r="CO68" s="254"/>
      <c r="CP68" s="254"/>
      <c r="CQ68" s="254"/>
      <c r="CR68" s="254"/>
      <c r="CS68" s="254"/>
      <c r="CT68" s="254"/>
      <c r="CU68" s="254"/>
      <c r="CV68" s="254"/>
      <c r="CW68" s="254"/>
      <c r="CX68" s="254"/>
      <c r="CY68" s="254"/>
      <c r="CZ68" s="254"/>
      <c r="DA68" s="254"/>
      <c r="DB68" s="254"/>
      <c r="DC68" s="254"/>
      <c r="DD68" s="254"/>
      <c r="DE68" s="254"/>
      <c r="DF68" s="254"/>
      <c r="DG68" s="254"/>
      <c r="DH68" s="254"/>
      <c r="DI68" s="254"/>
      <c r="DJ68" s="254"/>
      <c r="DK68" s="467"/>
      <c r="DL68" s="254"/>
      <c r="DM68" s="254"/>
      <c r="DN68" s="254"/>
      <c r="DO68" s="254"/>
      <c r="DP68" s="254"/>
      <c r="DQ68" s="254"/>
      <c r="DR68" s="254"/>
      <c r="DS68" s="254"/>
      <c r="DT68" s="254"/>
      <c r="DU68" s="254"/>
      <c r="DV68" s="254"/>
      <c r="DW68" s="254"/>
      <c r="DX68" s="254"/>
      <c r="DY68" s="467"/>
      <c r="DZ68" s="254"/>
      <c r="EA68" s="254"/>
      <c r="EB68" s="254"/>
      <c r="EC68" s="254"/>
    </row>
    <row r="69" spans="2:216" s="253" customFormat="1" ht="12" x14ac:dyDescent="0.2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4"/>
      <c r="BP69" s="254"/>
      <c r="BQ69" s="254"/>
      <c r="BR69" s="254"/>
      <c r="BS69" s="254"/>
      <c r="BT69" s="254"/>
      <c r="BU69" s="254"/>
      <c r="BV69" s="254"/>
      <c r="BW69" s="254"/>
      <c r="BX69" s="254"/>
      <c r="BY69" s="254"/>
      <c r="BZ69" s="254"/>
      <c r="CA69" s="254"/>
      <c r="CB69" s="254"/>
      <c r="CC69" s="254"/>
      <c r="CD69" s="254"/>
      <c r="CE69" s="254"/>
      <c r="CF69" s="254"/>
      <c r="CG69" s="254"/>
      <c r="CH69" s="254"/>
      <c r="CI69" s="254"/>
      <c r="CJ69" s="254"/>
      <c r="CK69" s="254"/>
      <c r="CL69" s="254"/>
      <c r="CM69" s="254"/>
      <c r="CN69" s="254"/>
      <c r="CO69" s="254"/>
      <c r="CP69" s="254"/>
      <c r="CQ69" s="254"/>
      <c r="CR69" s="254"/>
      <c r="CS69" s="254"/>
      <c r="CT69" s="254"/>
      <c r="CU69" s="254"/>
      <c r="CV69" s="254"/>
      <c r="CW69" s="254"/>
      <c r="CX69" s="254"/>
      <c r="CY69" s="254"/>
      <c r="CZ69" s="254"/>
      <c r="DA69" s="254"/>
      <c r="DB69" s="254"/>
      <c r="DC69" s="254"/>
      <c r="DD69" s="254"/>
      <c r="DE69" s="254"/>
      <c r="DF69" s="254"/>
      <c r="DG69" s="254"/>
      <c r="DH69" s="254"/>
      <c r="DI69" s="254"/>
      <c r="DJ69" s="254"/>
      <c r="DK69" s="467"/>
      <c r="DL69" s="254"/>
      <c r="DM69" s="254"/>
      <c r="DN69" s="254"/>
      <c r="DO69" s="254"/>
      <c r="DP69" s="254"/>
      <c r="DQ69" s="254"/>
      <c r="DR69" s="254"/>
      <c r="DS69" s="254"/>
      <c r="DT69" s="254"/>
      <c r="DU69" s="254"/>
      <c r="DV69" s="254"/>
      <c r="DW69" s="254"/>
      <c r="DX69" s="254"/>
      <c r="DY69" s="467"/>
      <c r="DZ69" s="254"/>
      <c r="EA69" s="254"/>
      <c r="EB69" s="254"/>
      <c r="EC69" s="254"/>
    </row>
    <row r="70" spans="2:216" s="253" customFormat="1" ht="12" x14ac:dyDescent="0.2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4"/>
      <c r="BW70" s="254"/>
      <c r="BX70" s="254"/>
      <c r="BY70" s="254"/>
      <c r="BZ70" s="254"/>
      <c r="CA70" s="254"/>
      <c r="CB70" s="254"/>
      <c r="CC70" s="254"/>
      <c r="CD70" s="254"/>
      <c r="CE70" s="254"/>
      <c r="CF70" s="254"/>
      <c r="CG70" s="254"/>
      <c r="CH70" s="254"/>
      <c r="CI70" s="254"/>
      <c r="CJ70" s="254"/>
      <c r="CK70" s="254"/>
      <c r="CL70" s="254"/>
      <c r="CM70" s="254"/>
      <c r="CN70" s="254"/>
      <c r="CO70" s="254"/>
      <c r="CP70" s="254"/>
      <c r="CQ70" s="254"/>
      <c r="CR70" s="254"/>
      <c r="CS70" s="254"/>
      <c r="CT70" s="254"/>
      <c r="CU70" s="254"/>
      <c r="CV70" s="254"/>
      <c r="CW70" s="254"/>
      <c r="CX70" s="254"/>
      <c r="CY70" s="254"/>
      <c r="CZ70" s="254"/>
      <c r="DA70" s="254"/>
      <c r="DB70" s="254"/>
      <c r="DC70" s="254"/>
      <c r="DD70" s="254"/>
      <c r="DE70" s="254"/>
      <c r="DF70" s="254"/>
      <c r="DG70" s="254"/>
      <c r="DH70" s="254"/>
      <c r="DI70" s="254"/>
      <c r="DJ70" s="254"/>
      <c r="DK70" s="467"/>
      <c r="DL70" s="254"/>
      <c r="DM70" s="254"/>
      <c r="DN70" s="254"/>
      <c r="DO70" s="254"/>
      <c r="DP70" s="254"/>
      <c r="DQ70" s="254"/>
      <c r="DR70" s="254"/>
      <c r="DS70" s="254"/>
      <c r="DT70" s="254"/>
      <c r="DU70" s="254"/>
      <c r="DV70" s="254"/>
      <c r="DW70" s="254"/>
      <c r="DX70" s="254"/>
      <c r="DY70" s="467"/>
      <c r="DZ70" s="254"/>
      <c r="EA70" s="254"/>
      <c r="EB70" s="254"/>
      <c r="EC70" s="254"/>
    </row>
    <row r="71" spans="2:216" s="253" customFormat="1" ht="12" x14ac:dyDescent="0.2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4"/>
      <c r="BW71" s="254"/>
      <c r="BX71" s="254"/>
      <c r="BY71" s="254"/>
      <c r="BZ71" s="254"/>
      <c r="CA71" s="254"/>
      <c r="CB71" s="254"/>
      <c r="CC71" s="254"/>
      <c r="CD71" s="254"/>
      <c r="CE71" s="254"/>
      <c r="CF71" s="254"/>
      <c r="CG71" s="254"/>
      <c r="CH71" s="254"/>
      <c r="CI71" s="254"/>
      <c r="CJ71" s="254"/>
      <c r="CK71" s="254"/>
      <c r="CL71" s="254"/>
      <c r="CM71" s="254"/>
      <c r="CN71" s="254"/>
      <c r="CO71" s="254"/>
      <c r="CP71" s="254"/>
      <c r="CQ71" s="254"/>
      <c r="CR71" s="254"/>
      <c r="CS71" s="254"/>
      <c r="CT71" s="254"/>
      <c r="CU71" s="254"/>
      <c r="CV71" s="254"/>
      <c r="CW71" s="254"/>
      <c r="CX71" s="254"/>
      <c r="CY71" s="254"/>
      <c r="CZ71" s="254"/>
      <c r="DA71" s="254"/>
      <c r="DB71" s="254"/>
      <c r="DC71" s="254"/>
      <c r="DD71" s="254"/>
      <c r="DE71" s="254"/>
      <c r="DF71" s="254"/>
      <c r="DG71" s="254"/>
      <c r="DH71" s="254"/>
      <c r="DI71" s="254"/>
      <c r="DJ71" s="254"/>
      <c r="DK71" s="467"/>
      <c r="DL71" s="254"/>
      <c r="DM71" s="254"/>
      <c r="DN71" s="254"/>
      <c r="DO71" s="254"/>
      <c r="DP71" s="254"/>
      <c r="DQ71" s="254"/>
      <c r="DR71" s="254"/>
      <c r="DS71" s="254"/>
      <c r="DT71" s="254"/>
      <c r="DU71" s="254"/>
      <c r="DV71" s="254"/>
      <c r="DW71" s="254"/>
      <c r="DX71" s="254"/>
      <c r="DY71" s="467"/>
      <c r="DZ71" s="254"/>
      <c r="EA71" s="254"/>
      <c r="EB71" s="254"/>
      <c r="EC71" s="254"/>
    </row>
    <row r="72" spans="2:216" s="253" customFormat="1" ht="12" x14ac:dyDescent="0.2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4"/>
      <c r="BW72" s="254"/>
      <c r="BX72" s="254"/>
      <c r="BY72" s="254"/>
      <c r="BZ72" s="254"/>
      <c r="CA72" s="254"/>
      <c r="CB72" s="254"/>
      <c r="CC72" s="254"/>
      <c r="CD72" s="254"/>
      <c r="CE72" s="254"/>
      <c r="CF72" s="254"/>
      <c r="CG72" s="254"/>
      <c r="CH72" s="254"/>
      <c r="CI72" s="254"/>
      <c r="CJ72" s="254"/>
      <c r="CK72" s="254"/>
      <c r="CL72" s="254"/>
      <c r="CM72" s="254"/>
      <c r="CN72" s="254"/>
      <c r="CO72" s="254"/>
      <c r="CP72" s="254"/>
      <c r="CQ72" s="254"/>
      <c r="CR72" s="254"/>
      <c r="CS72" s="254"/>
      <c r="CT72" s="254"/>
      <c r="CU72" s="254"/>
      <c r="CV72" s="254"/>
      <c r="CW72" s="254"/>
      <c r="CX72" s="254"/>
      <c r="CY72" s="254"/>
      <c r="CZ72" s="254"/>
      <c r="DA72" s="254"/>
      <c r="DB72" s="254"/>
      <c r="DC72" s="254"/>
      <c r="DD72" s="254"/>
      <c r="DE72" s="254"/>
      <c r="DF72" s="254"/>
      <c r="DG72" s="254"/>
      <c r="DH72" s="254"/>
      <c r="DI72" s="254"/>
      <c r="DJ72" s="254"/>
      <c r="DK72" s="467"/>
      <c r="DL72" s="254"/>
      <c r="DM72" s="254"/>
      <c r="DN72" s="254"/>
      <c r="DO72" s="254"/>
      <c r="DP72" s="254"/>
      <c r="DQ72" s="254"/>
      <c r="DR72" s="254"/>
      <c r="DS72" s="254"/>
      <c r="DT72" s="254"/>
      <c r="DU72" s="254"/>
      <c r="DV72" s="254"/>
      <c r="DW72" s="254"/>
      <c r="DX72" s="254"/>
      <c r="DY72" s="467"/>
      <c r="DZ72" s="254"/>
      <c r="EA72" s="254"/>
      <c r="EB72" s="254"/>
      <c r="EC72" s="254"/>
    </row>
    <row r="73" spans="2:216" s="253" customFormat="1" ht="12" x14ac:dyDescent="0.2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  <c r="BT73" s="254"/>
      <c r="BU73" s="254"/>
      <c r="BV73" s="254"/>
      <c r="BW73" s="254"/>
      <c r="BX73" s="254"/>
      <c r="BY73" s="254"/>
      <c r="BZ73" s="254"/>
      <c r="CA73" s="254"/>
      <c r="CB73" s="254"/>
      <c r="CC73" s="254"/>
      <c r="CD73" s="254"/>
      <c r="CE73" s="254"/>
      <c r="CF73" s="254"/>
      <c r="CG73" s="254"/>
      <c r="CH73" s="254"/>
      <c r="CI73" s="254"/>
      <c r="CJ73" s="254"/>
      <c r="CK73" s="254"/>
      <c r="CL73" s="254"/>
      <c r="CM73" s="254"/>
      <c r="CN73" s="254"/>
      <c r="CO73" s="254"/>
      <c r="CP73" s="254"/>
      <c r="CQ73" s="254"/>
      <c r="CR73" s="254"/>
      <c r="CS73" s="254"/>
      <c r="CT73" s="254"/>
      <c r="CU73" s="254"/>
      <c r="CV73" s="254"/>
      <c r="CW73" s="254"/>
      <c r="CX73" s="254"/>
      <c r="CY73" s="254"/>
      <c r="CZ73" s="254"/>
      <c r="DA73" s="254"/>
      <c r="DB73" s="254"/>
      <c r="DC73" s="254"/>
      <c r="DD73" s="254"/>
      <c r="DE73" s="254"/>
      <c r="DF73" s="254"/>
      <c r="DG73" s="254"/>
      <c r="DH73" s="254"/>
      <c r="DI73" s="254"/>
      <c r="DJ73" s="254"/>
      <c r="DK73" s="467"/>
      <c r="DL73" s="254"/>
      <c r="DM73" s="254"/>
      <c r="DN73" s="254"/>
      <c r="DO73" s="254"/>
      <c r="DP73" s="254"/>
      <c r="DQ73" s="254"/>
      <c r="DR73" s="254"/>
      <c r="DS73" s="254"/>
      <c r="DT73" s="254"/>
      <c r="DU73" s="254"/>
      <c r="DV73" s="254"/>
      <c r="DW73" s="254"/>
      <c r="DX73" s="254"/>
      <c r="DY73" s="467"/>
      <c r="DZ73" s="254"/>
      <c r="EA73" s="254"/>
      <c r="EB73" s="254"/>
      <c r="EC73" s="254"/>
    </row>
    <row r="74" spans="2:216" s="253" customFormat="1" ht="12" x14ac:dyDescent="0.2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4"/>
      <c r="BW74" s="254"/>
      <c r="BX74" s="254"/>
      <c r="BY74" s="254"/>
      <c r="BZ74" s="254"/>
      <c r="CA74" s="254"/>
      <c r="CB74" s="254"/>
      <c r="CC74" s="254"/>
      <c r="CD74" s="254"/>
      <c r="CE74" s="254"/>
      <c r="CF74" s="254"/>
      <c r="CG74" s="254"/>
      <c r="CH74" s="254"/>
      <c r="CI74" s="254"/>
      <c r="CJ74" s="254"/>
      <c r="CK74" s="254"/>
      <c r="CL74" s="254"/>
      <c r="CM74" s="254"/>
      <c r="CN74" s="254"/>
      <c r="CO74" s="254"/>
      <c r="CP74" s="254"/>
      <c r="CQ74" s="254"/>
      <c r="CR74" s="254"/>
      <c r="CS74" s="254"/>
      <c r="CT74" s="254"/>
      <c r="CU74" s="254"/>
      <c r="CV74" s="254"/>
      <c r="CW74" s="254"/>
      <c r="CX74" s="254"/>
      <c r="CY74" s="254"/>
      <c r="CZ74" s="254"/>
      <c r="DA74" s="254"/>
      <c r="DB74" s="254"/>
      <c r="DC74" s="254"/>
      <c r="DD74" s="254"/>
      <c r="DE74" s="254"/>
      <c r="DF74" s="254"/>
      <c r="DG74" s="254"/>
      <c r="DH74" s="254"/>
      <c r="DI74" s="254"/>
      <c r="DJ74" s="254"/>
      <c r="DK74" s="467"/>
      <c r="DL74" s="254"/>
      <c r="DM74" s="254"/>
      <c r="DN74" s="254"/>
      <c r="DO74" s="254"/>
      <c r="DP74" s="254"/>
      <c r="DQ74" s="254"/>
      <c r="DR74" s="254"/>
      <c r="DS74" s="254"/>
      <c r="DT74" s="254"/>
      <c r="DU74" s="254"/>
      <c r="DV74" s="254"/>
      <c r="DW74" s="254"/>
      <c r="DX74" s="254"/>
      <c r="DY74" s="467"/>
      <c r="DZ74" s="254"/>
      <c r="EA74" s="254"/>
      <c r="EB74" s="254"/>
      <c r="EC74" s="254"/>
    </row>
    <row r="75" spans="2:216" s="253" customFormat="1" ht="12" x14ac:dyDescent="0.2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4"/>
      <c r="BW75" s="254"/>
      <c r="BX75" s="254"/>
      <c r="BY75" s="254"/>
      <c r="BZ75" s="254"/>
      <c r="CA75" s="254"/>
      <c r="CB75" s="254"/>
      <c r="CC75" s="254"/>
      <c r="CD75" s="254"/>
      <c r="CE75" s="254"/>
      <c r="CF75" s="254"/>
      <c r="CG75" s="254"/>
      <c r="CH75" s="254"/>
      <c r="CI75" s="254"/>
      <c r="CJ75" s="254"/>
      <c r="CK75" s="254"/>
      <c r="CL75" s="254"/>
      <c r="CM75" s="254"/>
      <c r="CN75" s="254"/>
      <c r="CO75" s="254"/>
      <c r="CP75" s="254"/>
      <c r="CQ75" s="254"/>
      <c r="CR75" s="254"/>
      <c r="CS75" s="254"/>
      <c r="CT75" s="254"/>
      <c r="CU75" s="254"/>
      <c r="CV75" s="254"/>
      <c r="CW75" s="254"/>
      <c r="CX75" s="254"/>
      <c r="CY75" s="254"/>
      <c r="CZ75" s="254"/>
      <c r="DA75" s="254"/>
      <c r="DB75" s="254"/>
      <c r="DC75" s="254"/>
      <c r="DD75" s="254"/>
      <c r="DE75" s="254"/>
      <c r="DF75" s="254"/>
      <c r="DG75" s="254"/>
      <c r="DH75" s="254"/>
      <c r="DI75" s="254"/>
      <c r="DJ75" s="254"/>
      <c r="DK75" s="467"/>
      <c r="DL75" s="254"/>
      <c r="DM75" s="254"/>
      <c r="DN75" s="254"/>
      <c r="DO75" s="254"/>
      <c r="DP75" s="254"/>
      <c r="DQ75" s="254"/>
      <c r="DR75" s="254"/>
      <c r="DS75" s="254"/>
      <c r="DT75" s="254"/>
      <c r="DU75" s="254"/>
      <c r="DV75" s="254"/>
      <c r="DW75" s="254"/>
      <c r="DX75" s="254"/>
      <c r="DY75" s="467"/>
      <c r="DZ75" s="254"/>
      <c r="EA75" s="254"/>
      <c r="EB75" s="254"/>
      <c r="EC75" s="254"/>
    </row>
    <row r="76" spans="2:216" s="253" customFormat="1" ht="12" x14ac:dyDescent="0.2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  <c r="BT76" s="254"/>
      <c r="BU76" s="254"/>
      <c r="BV76" s="254"/>
      <c r="BW76" s="254"/>
      <c r="BX76" s="254"/>
      <c r="BY76" s="254"/>
      <c r="BZ76" s="254"/>
      <c r="CA76" s="254"/>
      <c r="CB76" s="254"/>
      <c r="CC76" s="254"/>
      <c r="CD76" s="254"/>
      <c r="CE76" s="254"/>
      <c r="CF76" s="254"/>
      <c r="CG76" s="254"/>
      <c r="CH76" s="254"/>
      <c r="CI76" s="254"/>
      <c r="CJ76" s="254"/>
      <c r="CK76" s="254"/>
      <c r="CL76" s="254"/>
      <c r="CM76" s="254"/>
      <c r="CN76" s="254"/>
      <c r="CO76" s="254"/>
      <c r="CP76" s="254"/>
      <c r="CQ76" s="254"/>
      <c r="CR76" s="254"/>
      <c r="CS76" s="254"/>
      <c r="CT76" s="254"/>
      <c r="CU76" s="254"/>
      <c r="CV76" s="254"/>
      <c r="CW76" s="254"/>
      <c r="CX76" s="254"/>
      <c r="CY76" s="254"/>
      <c r="CZ76" s="254"/>
      <c r="DA76" s="254"/>
      <c r="DB76" s="254"/>
      <c r="DC76" s="254"/>
      <c r="DD76" s="254"/>
      <c r="DE76" s="254"/>
      <c r="DF76" s="254"/>
      <c r="DG76" s="254"/>
      <c r="DH76" s="254"/>
      <c r="DI76" s="254"/>
      <c r="DJ76" s="254"/>
      <c r="DK76" s="467"/>
      <c r="DL76" s="254"/>
      <c r="DM76" s="254"/>
      <c r="DN76" s="254"/>
      <c r="DO76" s="254"/>
      <c r="DP76" s="254"/>
      <c r="DQ76" s="254"/>
      <c r="DR76" s="254"/>
      <c r="DS76" s="254"/>
      <c r="DT76" s="254"/>
      <c r="DU76" s="254"/>
      <c r="DV76" s="254"/>
      <c r="DW76" s="254"/>
      <c r="DX76" s="254"/>
      <c r="DY76" s="467"/>
      <c r="DZ76" s="254"/>
      <c r="EA76" s="254"/>
      <c r="EB76" s="254"/>
      <c r="EC76" s="254"/>
    </row>
    <row r="77" spans="2:216" s="273" customFormat="1" ht="12" x14ac:dyDescent="0.2">
      <c r="B77" s="253"/>
      <c r="C77" s="253"/>
      <c r="D77" s="253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4"/>
      <c r="BW77" s="254"/>
      <c r="BX77" s="254"/>
      <c r="BY77" s="254"/>
      <c r="BZ77" s="254"/>
      <c r="CA77" s="254"/>
      <c r="CB77" s="254"/>
      <c r="CC77" s="254"/>
      <c r="CD77" s="254"/>
      <c r="CE77" s="254"/>
      <c r="CF77" s="254"/>
      <c r="CG77" s="254"/>
      <c r="CH77" s="254"/>
      <c r="CI77" s="254"/>
      <c r="CJ77" s="254"/>
      <c r="CK77" s="254"/>
      <c r="CL77" s="254"/>
      <c r="CM77" s="254"/>
      <c r="CN77" s="254"/>
      <c r="CO77" s="254"/>
      <c r="CP77" s="254"/>
      <c r="CQ77" s="254"/>
      <c r="CR77" s="254"/>
      <c r="CS77" s="254"/>
      <c r="CT77" s="254"/>
      <c r="CU77" s="254"/>
      <c r="CV77" s="254"/>
      <c r="CW77" s="254"/>
      <c r="CX77" s="254"/>
      <c r="CY77" s="254"/>
      <c r="CZ77" s="254"/>
      <c r="DA77" s="254"/>
      <c r="DB77" s="254"/>
      <c r="DC77" s="254"/>
      <c r="DD77" s="254"/>
      <c r="DE77" s="254"/>
      <c r="DF77" s="254"/>
      <c r="DG77" s="254"/>
      <c r="DH77" s="254"/>
      <c r="DI77" s="254"/>
      <c r="DJ77" s="254"/>
      <c r="DK77" s="467"/>
      <c r="DL77" s="254"/>
      <c r="DM77" s="254"/>
      <c r="DN77" s="254"/>
      <c r="DO77" s="254"/>
      <c r="DP77" s="254"/>
      <c r="DQ77" s="254"/>
      <c r="DR77" s="254"/>
      <c r="DS77" s="254"/>
      <c r="DT77" s="254"/>
      <c r="DU77" s="254"/>
      <c r="DV77" s="254"/>
      <c r="DW77" s="254"/>
      <c r="DX77" s="254"/>
      <c r="DY77" s="467"/>
      <c r="DZ77" s="254"/>
      <c r="EA77" s="254"/>
      <c r="EB77" s="254"/>
      <c r="EC77" s="254"/>
      <c r="HG77" s="253"/>
      <c r="HH77" s="253"/>
    </row>
    <row r="78" spans="2:216" s="273" customFormat="1" ht="12" x14ac:dyDescent="0.2">
      <c r="B78" s="253"/>
      <c r="C78" s="253"/>
      <c r="D78" s="253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4"/>
      <c r="BW78" s="254"/>
      <c r="BX78" s="254"/>
      <c r="BY78" s="254"/>
      <c r="BZ78" s="254"/>
      <c r="CA78" s="254"/>
      <c r="CB78" s="254"/>
      <c r="CC78" s="254"/>
      <c r="CD78" s="254"/>
      <c r="CE78" s="254"/>
      <c r="CF78" s="254"/>
      <c r="CG78" s="254"/>
      <c r="CH78" s="254"/>
      <c r="CI78" s="254"/>
      <c r="CJ78" s="254"/>
      <c r="CK78" s="254"/>
      <c r="CL78" s="254"/>
      <c r="CM78" s="254"/>
      <c r="CN78" s="254"/>
      <c r="CO78" s="254"/>
      <c r="CP78" s="254"/>
      <c r="CQ78" s="254"/>
      <c r="CR78" s="254"/>
      <c r="CS78" s="254"/>
      <c r="CT78" s="254"/>
      <c r="CU78" s="254"/>
      <c r="CV78" s="254"/>
      <c r="CW78" s="254"/>
      <c r="CX78" s="254"/>
      <c r="CY78" s="254"/>
      <c r="CZ78" s="254"/>
      <c r="DA78" s="254"/>
      <c r="DB78" s="254"/>
      <c r="DC78" s="254"/>
      <c r="DD78" s="254"/>
      <c r="DE78" s="254"/>
      <c r="DF78" s="254"/>
      <c r="DG78" s="254"/>
      <c r="DH78" s="254"/>
      <c r="DI78" s="254"/>
      <c r="DJ78" s="254"/>
      <c r="DK78" s="467"/>
      <c r="DL78" s="254"/>
      <c r="DM78" s="254"/>
      <c r="DN78" s="254"/>
      <c r="DO78" s="254"/>
      <c r="DP78" s="254"/>
      <c r="DQ78" s="254"/>
      <c r="DR78" s="254"/>
      <c r="DS78" s="254"/>
      <c r="DT78" s="254"/>
      <c r="DU78" s="254"/>
      <c r="DV78" s="254"/>
      <c r="DW78" s="254"/>
      <c r="DX78" s="254"/>
      <c r="DY78" s="467"/>
      <c r="DZ78" s="254"/>
      <c r="EA78" s="254"/>
      <c r="EB78" s="254"/>
      <c r="EC78" s="254"/>
      <c r="HG78" s="253"/>
      <c r="HH78" s="253"/>
    </row>
    <row r="79" spans="2:216" s="273" customFormat="1" ht="12" x14ac:dyDescent="0.2">
      <c r="B79" s="253"/>
      <c r="C79" s="253"/>
      <c r="D79" s="253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4"/>
      <c r="BW79" s="254"/>
      <c r="BX79" s="254"/>
      <c r="BY79" s="254"/>
      <c r="BZ79" s="254"/>
      <c r="CA79" s="254"/>
      <c r="CB79" s="254"/>
      <c r="CC79" s="254"/>
      <c r="CD79" s="254"/>
      <c r="CE79" s="254"/>
      <c r="CF79" s="254"/>
      <c r="CG79" s="254"/>
      <c r="CH79" s="254"/>
      <c r="CI79" s="254"/>
      <c r="CJ79" s="254"/>
      <c r="CK79" s="254"/>
      <c r="CL79" s="254"/>
      <c r="CM79" s="254"/>
      <c r="CN79" s="254"/>
      <c r="CO79" s="254"/>
      <c r="CP79" s="254"/>
      <c r="CQ79" s="254"/>
      <c r="CR79" s="254"/>
      <c r="CS79" s="254"/>
      <c r="CT79" s="254"/>
      <c r="CU79" s="254"/>
      <c r="CV79" s="254"/>
      <c r="CW79" s="254"/>
      <c r="CX79" s="254"/>
      <c r="CY79" s="254"/>
      <c r="CZ79" s="254"/>
      <c r="DA79" s="254"/>
      <c r="DB79" s="254"/>
      <c r="DC79" s="254"/>
      <c r="DD79" s="254"/>
      <c r="DE79" s="254"/>
      <c r="DF79" s="254"/>
      <c r="DG79" s="254"/>
      <c r="DH79" s="254"/>
      <c r="DI79" s="254"/>
      <c r="DJ79" s="254"/>
      <c r="DK79" s="467"/>
      <c r="DL79" s="254"/>
      <c r="DM79" s="254"/>
      <c r="DN79" s="254"/>
      <c r="DO79" s="254"/>
      <c r="DP79" s="254"/>
      <c r="DQ79" s="254"/>
      <c r="DR79" s="254"/>
      <c r="DS79" s="254"/>
      <c r="DT79" s="254"/>
      <c r="DU79" s="254"/>
      <c r="DV79" s="254"/>
      <c r="DW79" s="254"/>
      <c r="DX79" s="254"/>
      <c r="DY79" s="467"/>
      <c r="DZ79" s="254"/>
      <c r="EA79" s="254"/>
      <c r="EB79" s="254"/>
      <c r="EC79" s="254"/>
      <c r="HG79" s="253"/>
      <c r="HH79" s="253"/>
    </row>
    <row r="80" spans="2:216" s="273" customFormat="1" ht="12" x14ac:dyDescent="0.2">
      <c r="B80" s="253"/>
      <c r="C80" s="253"/>
      <c r="D80" s="253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4"/>
      <c r="BW80" s="254"/>
      <c r="BX80" s="254"/>
      <c r="BY80" s="254"/>
      <c r="BZ80" s="254"/>
      <c r="CA80" s="254"/>
      <c r="CB80" s="254"/>
      <c r="CC80" s="254"/>
      <c r="CD80" s="254"/>
      <c r="CE80" s="254"/>
      <c r="CF80" s="254"/>
      <c r="CG80" s="254"/>
      <c r="CH80" s="254"/>
      <c r="CI80" s="254"/>
      <c r="CJ80" s="254"/>
      <c r="CK80" s="254"/>
      <c r="CL80" s="254"/>
      <c r="CM80" s="254"/>
      <c r="CN80" s="254"/>
      <c r="CO80" s="254"/>
      <c r="CP80" s="254"/>
      <c r="CQ80" s="254"/>
      <c r="CR80" s="254"/>
      <c r="CS80" s="254"/>
      <c r="CT80" s="254"/>
      <c r="CU80" s="254"/>
      <c r="CV80" s="254"/>
      <c r="CW80" s="254"/>
      <c r="CX80" s="254"/>
      <c r="CY80" s="254"/>
      <c r="CZ80" s="254"/>
      <c r="DA80" s="254"/>
      <c r="DB80" s="254"/>
      <c r="DC80" s="254"/>
      <c r="DD80" s="254"/>
      <c r="DE80" s="254"/>
      <c r="DF80" s="254"/>
      <c r="DG80" s="254"/>
      <c r="DH80" s="254"/>
      <c r="DI80" s="254"/>
      <c r="DJ80" s="254"/>
      <c r="DK80" s="467"/>
      <c r="DL80" s="254"/>
      <c r="DM80" s="254"/>
      <c r="DN80" s="254"/>
      <c r="DO80" s="254"/>
      <c r="DP80" s="254"/>
      <c r="DQ80" s="254"/>
      <c r="DR80" s="254"/>
      <c r="DS80" s="254"/>
      <c r="DT80" s="254"/>
      <c r="DU80" s="254"/>
      <c r="DV80" s="254"/>
      <c r="DW80" s="254"/>
      <c r="DX80" s="254"/>
      <c r="DY80" s="467"/>
      <c r="DZ80" s="254"/>
      <c r="EA80" s="254"/>
      <c r="EB80" s="254"/>
      <c r="EC80" s="254"/>
      <c r="HG80" s="253"/>
      <c r="HH80" s="253"/>
    </row>
    <row r="81" spans="2:216" s="273" customFormat="1" ht="12" x14ac:dyDescent="0.2">
      <c r="B81" s="253"/>
      <c r="C81" s="253"/>
      <c r="D81" s="253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4"/>
      <c r="BW81" s="254"/>
      <c r="BX81" s="254"/>
      <c r="BY81" s="254"/>
      <c r="BZ81" s="254"/>
      <c r="CA81" s="254"/>
      <c r="CB81" s="254"/>
      <c r="CC81" s="254"/>
      <c r="CD81" s="254"/>
      <c r="CE81" s="254"/>
      <c r="CF81" s="254"/>
      <c r="CG81" s="254"/>
      <c r="CH81" s="254"/>
      <c r="CI81" s="254"/>
      <c r="CJ81" s="254"/>
      <c r="CK81" s="254"/>
      <c r="CL81" s="254"/>
      <c r="CM81" s="254"/>
      <c r="CN81" s="254"/>
      <c r="CO81" s="254"/>
      <c r="CP81" s="254"/>
      <c r="CQ81" s="254"/>
      <c r="CR81" s="254"/>
      <c r="CS81" s="254"/>
      <c r="CT81" s="254"/>
      <c r="CU81" s="254"/>
      <c r="CV81" s="254"/>
      <c r="CW81" s="254"/>
      <c r="CX81" s="254"/>
      <c r="CY81" s="254"/>
      <c r="CZ81" s="254"/>
      <c r="DA81" s="254"/>
      <c r="DB81" s="254"/>
      <c r="DC81" s="254"/>
      <c r="DD81" s="254"/>
      <c r="DE81" s="254"/>
      <c r="DF81" s="254"/>
      <c r="DG81" s="254"/>
      <c r="DH81" s="254"/>
      <c r="DI81" s="254"/>
      <c r="DJ81" s="254"/>
      <c r="DK81" s="467"/>
      <c r="DL81" s="254"/>
      <c r="DM81" s="254"/>
      <c r="DN81" s="254"/>
      <c r="DO81" s="254"/>
      <c r="DP81" s="254"/>
      <c r="DQ81" s="254"/>
      <c r="DR81" s="254"/>
      <c r="DS81" s="254"/>
      <c r="DT81" s="254"/>
      <c r="DU81" s="254"/>
      <c r="DV81" s="254"/>
      <c r="DW81" s="254"/>
      <c r="DX81" s="254"/>
      <c r="DY81" s="467"/>
      <c r="DZ81" s="254"/>
      <c r="EA81" s="254"/>
      <c r="EB81" s="254"/>
      <c r="EC81" s="254"/>
      <c r="HG81" s="253"/>
      <c r="HH81" s="253"/>
    </row>
    <row r="82" spans="2:216" x14ac:dyDescent="0.2"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273"/>
      <c r="CF82" s="273"/>
      <c r="CG82" s="273"/>
      <c r="CH82" s="273"/>
      <c r="CI82" s="273"/>
      <c r="CJ82" s="273"/>
      <c r="CK82" s="273"/>
      <c r="CL82" s="273"/>
      <c r="CM82" s="273"/>
      <c r="CN82" s="273"/>
      <c r="CO82" s="273"/>
      <c r="CP82" s="273"/>
      <c r="CQ82" s="273"/>
      <c r="CR82" s="273"/>
      <c r="CS82" s="273"/>
      <c r="CT82" s="273"/>
      <c r="CU82" s="273"/>
      <c r="CV82" s="273"/>
      <c r="CW82" s="273"/>
      <c r="CX82" s="273"/>
      <c r="CY82" s="253"/>
      <c r="CZ82" s="253"/>
      <c r="DA82" s="253"/>
      <c r="DB82" s="253"/>
      <c r="DC82" s="253"/>
      <c r="DD82" s="253"/>
      <c r="DE82" s="253"/>
      <c r="DF82" s="253"/>
      <c r="DG82" s="253"/>
      <c r="DH82" s="253"/>
      <c r="DI82" s="253"/>
      <c r="DJ82" s="253"/>
      <c r="DK82" s="468"/>
      <c r="DL82" s="253"/>
      <c r="DM82" s="253"/>
      <c r="DN82" s="253"/>
      <c r="DO82" s="253"/>
      <c r="DP82" s="253"/>
      <c r="DQ82" s="253"/>
      <c r="DR82" s="253"/>
      <c r="DS82" s="253"/>
      <c r="DT82" s="253"/>
      <c r="DU82" s="253"/>
      <c r="DV82" s="253"/>
      <c r="DW82" s="253"/>
      <c r="DX82" s="253"/>
      <c r="DY82" s="468"/>
      <c r="DZ82" s="253"/>
      <c r="HG82" s="273"/>
      <c r="HH82" s="273"/>
    </row>
    <row r="83" spans="2:216" x14ac:dyDescent="0.2">
      <c r="B83" s="273"/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3"/>
      <c r="AC83" s="273"/>
      <c r="AD83" s="273"/>
      <c r="AE83" s="273"/>
      <c r="AF83" s="273"/>
      <c r="AG83" s="273"/>
      <c r="AH83" s="273"/>
      <c r="AI83" s="273"/>
      <c r="AJ83" s="273"/>
      <c r="AK83" s="273"/>
      <c r="AL83" s="273"/>
      <c r="AM83" s="273"/>
      <c r="AN83" s="273"/>
      <c r="AO83" s="273"/>
      <c r="AP83" s="273"/>
      <c r="AQ83" s="273"/>
      <c r="AR83" s="273"/>
      <c r="AS83" s="273"/>
      <c r="AT83" s="273"/>
      <c r="AU83" s="273"/>
      <c r="AV83" s="273"/>
      <c r="AW83" s="273"/>
      <c r="AX83" s="273"/>
      <c r="AY83" s="273"/>
      <c r="AZ83" s="273"/>
      <c r="BA83" s="273"/>
      <c r="BB83" s="273"/>
      <c r="BC83" s="273"/>
      <c r="BD83" s="273"/>
      <c r="BE83" s="273"/>
      <c r="BF83" s="273"/>
      <c r="BG83" s="273"/>
      <c r="BH83" s="273"/>
      <c r="BI83" s="273"/>
      <c r="BJ83" s="273"/>
      <c r="BK83" s="273"/>
      <c r="BL83" s="273"/>
      <c r="BM83" s="273"/>
      <c r="BN83" s="273"/>
      <c r="BO83" s="273"/>
      <c r="BP83" s="273"/>
      <c r="BQ83" s="273"/>
      <c r="BR83" s="273"/>
      <c r="BS83" s="273"/>
      <c r="BT83" s="273"/>
      <c r="BU83" s="273"/>
      <c r="BV83" s="273"/>
      <c r="BW83" s="273"/>
      <c r="BX83" s="273"/>
      <c r="BY83" s="273"/>
      <c r="BZ83" s="273"/>
      <c r="CA83" s="273"/>
      <c r="CB83" s="273"/>
      <c r="CC83" s="273"/>
      <c r="CD83" s="273"/>
      <c r="CE83" s="273"/>
      <c r="CF83" s="273"/>
      <c r="CG83" s="273"/>
      <c r="CH83" s="273"/>
      <c r="CI83" s="273"/>
      <c r="CJ83" s="273"/>
      <c r="CK83" s="273"/>
      <c r="CL83" s="273"/>
      <c r="CM83" s="273"/>
      <c r="CN83" s="273"/>
      <c r="CO83" s="273"/>
      <c r="CP83" s="273"/>
      <c r="CQ83" s="273"/>
      <c r="CR83" s="273"/>
      <c r="CS83" s="273"/>
      <c r="CT83" s="273"/>
      <c r="CU83" s="273"/>
      <c r="CV83" s="273"/>
      <c r="CW83" s="273"/>
      <c r="CX83" s="273"/>
      <c r="CY83" s="273"/>
      <c r="CZ83" s="273"/>
      <c r="DA83" s="273"/>
      <c r="DB83" s="273"/>
      <c r="DC83" s="273"/>
      <c r="DD83" s="273"/>
      <c r="DE83" s="273"/>
      <c r="DF83" s="273"/>
      <c r="DG83" s="273"/>
      <c r="DH83" s="273"/>
      <c r="DI83" s="273"/>
      <c r="DJ83" s="273"/>
      <c r="DK83" s="469"/>
      <c r="DL83" s="273"/>
      <c r="DM83" s="273"/>
      <c r="DN83" s="273"/>
      <c r="DO83" s="273"/>
      <c r="DP83" s="273"/>
      <c r="DQ83" s="273"/>
      <c r="DR83" s="273"/>
      <c r="DS83" s="273"/>
      <c r="DT83" s="273"/>
      <c r="DU83" s="273"/>
      <c r="DV83" s="273"/>
      <c r="DW83" s="273"/>
      <c r="DX83" s="273"/>
      <c r="DY83" s="469"/>
      <c r="DZ83" s="273"/>
      <c r="HG83" s="273"/>
      <c r="HH83" s="273"/>
    </row>
    <row r="84" spans="2:216" x14ac:dyDescent="0.2"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73"/>
      <c r="CE84" s="273"/>
      <c r="CF84" s="273"/>
      <c r="CG84" s="273"/>
      <c r="CH84" s="273"/>
      <c r="CI84" s="273"/>
      <c r="CJ84" s="273"/>
      <c r="CK84" s="273"/>
      <c r="CL84" s="273"/>
      <c r="CM84" s="273"/>
      <c r="CN84" s="273"/>
      <c r="CO84" s="273"/>
      <c r="CP84" s="273"/>
      <c r="CQ84" s="273"/>
      <c r="CR84" s="273"/>
      <c r="CS84" s="273"/>
      <c r="CT84" s="273"/>
      <c r="CU84" s="273"/>
      <c r="CV84" s="273"/>
      <c r="CW84" s="273"/>
      <c r="CX84" s="273"/>
      <c r="CY84" s="273"/>
      <c r="CZ84" s="273"/>
      <c r="DA84" s="273"/>
      <c r="DB84" s="273"/>
      <c r="DC84" s="273"/>
      <c r="DD84" s="273"/>
      <c r="DE84" s="273"/>
      <c r="DF84" s="273"/>
      <c r="DG84" s="273"/>
      <c r="DH84" s="273"/>
      <c r="DI84" s="273"/>
      <c r="DJ84" s="273"/>
      <c r="DK84" s="469"/>
      <c r="DL84" s="273"/>
      <c r="DM84" s="273"/>
      <c r="DN84" s="273"/>
      <c r="DO84" s="273"/>
      <c r="DP84" s="273"/>
      <c r="DQ84" s="273"/>
      <c r="DR84" s="273"/>
      <c r="DS84" s="273"/>
      <c r="DT84" s="273"/>
      <c r="DU84" s="273"/>
      <c r="DV84" s="273"/>
      <c r="DW84" s="273"/>
      <c r="DX84" s="273"/>
      <c r="DY84" s="469"/>
      <c r="DZ84" s="273"/>
      <c r="HG84" s="273"/>
      <c r="HH84" s="273"/>
    </row>
    <row r="85" spans="2:216" x14ac:dyDescent="0.2"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273"/>
      <c r="AQ85" s="273"/>
      <c r="AR85" s="273"/>
      <c r="AS85" s="273"/>
      <c r="AT85" s="273"/>
      <c r="AU85" s="273"/>
      <c r="AV85" s="273"/>
      <c r="AW85" s="273"/>
      <c r="AX85" s="273"/>
      <c r="AY85" s="273"/>
      <c r="AZ85" s="273"/>
      <c r="BA85" s="273"/>
      <c r="BB85" s="273"/>
      <c r="BC85" s="273"/>
      <c r="BD85" s="273"/>
      <c r="BE85" s="273"/>
      <c r="BF85" s="273"/>
      <c r="BG85" s="273"/>
      <c r="BH85" s="273"/>
      <c r="BI85" s="273"/>
      <c r="BJ85" s="273"/>
      <c r="BK85" s="273"/>
      <c r="BL85" s="273"/>
      <c r="BM85" s="273"/>
      <c r="BN85" s="273"/>
      <c r="BO85" s="273"/>
      <c r="BP85" s="273"/>
      <c r="BQ85" s="273"/>
      <c r="BR85" s="273"/>
      <c r="BS85" s="273"/>
      <c r="BT85" s="273"/>
      <c r="BU85" s="273"/>
      <c r="BV85" s="273"/>
      <c r="BW85" s="273"/>
      <c r="BX85" s="273"/>
      <c r="BY85" s="273"/>
      <c r="BZ85" s="273"/>
      <c r="CA85" s="273"/>
      <c r="CB85" s="273"/>
      <c r="CC85" s="273"/>
      <c r="CD85" s="273"/>
      <c r="CE85" s="273"/>
      <c r="CF85" s="273"/>
      <c r="CG85" s="273"/>
      <c r="CH85" s="273"/>
      <c r="CI85" s="273"/>
      <c r="CJ85" s="273"/>
      <c r="CK85" s="273"/>
      <c r="CL85" s="273"/>
      <c r="CM85" s="273"/>
      <c r="CN85" s="273"/>
      <c r="CO85" s="273"/>
      <c r="CP85" s="273"/>
      <c r="CQ85" s="273"/>
      <c r="CR85" s="273"/>
      <c r="CS85" s="273"/>
      <c r="CT85" s="273"/>
      <c r="CU85" s="273"/>
      <c r="CV85" s="273"/>
      <c r="CW85" s="273"/>
      <c r="CX85" s="273"/>
      <c r="CY85" s="273"/>
      <c r="CZ85" s="273"/>
      <c r="DA85" s="273"/>
      <c r="DB85" s="273"/>
      <c r="DC85" s="273"/>
      <c r="DD85" s="273"/>
      <c r="DE85" s="273"/>
      <c r="DF85" s="273"/>
      <c r="DG85" s="273"/>
      <c r="DH85" s="273"/>
      <c r="DI85" s="273"/>
      <c r="DJ85" s="273"/>
      <c r="DK85" s="469"/>
      <c r="DL85" s="273"/>
      <c r="DM85" s="273"/>
      <c r="DN85" s="273"/>
      <c r="DO85" s="273"/>
      <c r="DP85" s="273"/>
      <c r="DQ85" s="273"/>
      <c r="DR85" s="273"/>
      <c r="DS85" s="273"/>
      <c r="DT85" s="273"/>
      <c r="DU85" s="273"/>
      <c r="DV85" s="273"/>
      <c r="DW85" s="273"/>
      <c r="DX85" s="273"/>
      <c r="DY85" s="469"/>
      <c r="DZ85" s="273"/>
      <c r="HG85" s="273"/>
      <c r="HH85" s="273"/>
    </row>
    <row r="86" spans="2:216" x14ac:dyDescent="0.2"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3"/>
      <c r="AL86" s="273"/>
      <c r="AM86" s="273"/>
      <c r="AN86" s="273"/>
      <c r="AO86" s="273"/>
      <c r="AP86" s="273"/>
      <c r="AQ86" s="273"/>
      <c r="AR86" s="273"/>
      <c r="AS86" s="273"/>
      <c r="AT86" s="273"/>
      <c r="AU86" s="273"/>
      <c r="AV86" s="273"/>
      <c r="AW86" s="273"/>
      <c r="AX86" s="273"/>
      <c r="AY86" s="273"/>
      <c r="AZ86" s="273"/>
      <c r="BA86" s="273"/>
      <c r="BB86" s="273"/>
      <c r="BC86" s="273"/>
      <c r="BD86" s="273"/>
      <c r="BE86" s="273"/>
      <c r="BF86" s="273"/>
      <c r="BG86" s="273"/>
      <c r="BH86" s="273"/>
      <c r="BI86" s="273"/>
      <c r="BJ86" s="273"/>
      <c r="BK86" s="273"/>
      <c r="BL86" s="273"/>
      <c r="BM86" s="273"/>
      <c r="BN86" s="273"/>
      <c r="BO86" s="273"/>
      <c r="BP86" s="273"/>
      <c r="BQ86" s="273"/>
      <c r="BR86" s="273"/>
      <c r="BS86" s="273"/>
      <c r="BT86" s="273"/>
      <c r="BU86" s="273"/>
      <c r="BV86" s="273"/>
      <c r="BW86" s="273"/>
      <c r="BX86" s="273"/>
      <c r="BY86" s="273"/>
      <c r="BZ86" s="273"/>
      <c r="CA86" s="273"/>
      <c r="CB86" s="273"/>
      <c r="CC86" s="273"/>
      <c r="CD86" s="273"/>
      <c r="CE86" s="273"/>
      <c r="CF86" s="273"/>
      <c r="CG86" s="273"/>
      <c r="CH86" s="273"/>
      <c r="CI86" s="273"/>
      <c r="CJ86" s="273"/>
      <c r="CK86" s="273"/>
      <c r="CL86" s="273"/>
      <c r="CM86" s="273"/>
      <c r="CN86" s="273"/>
      <c r="CO86" s="273"/>
      <c r="CP86" s="273"/>
      <c r="CQ86" s="273"/>
      <c r="CR86" s="273"/>
      <c r="CS86" s="273"/>
      <c r="CT86" s="273"/>
      <c r="CU86" s="273"/>
      <c r="CV86" s="273"/>
      <c r="CW86" s="273"/>
      <c r="CX86" s="273"/>
      <c r="CY86" s="273"/>
      <c r="CZ86" s="273"/>
      <c r="DA86" s="273"/>
      <c r="DB86" s="273"/>
      <c r="DC86" s="273"/>
      <c r="DD86" s="273"/>
      <c r="DE86" s="273"/>
      <c r="DF86" s="273"/>
      <c r="DG86" s="273"/>
      <c r="DH86" s="273"/>
      <c r="DI86" s="273"/>
      <c r="DJ86" s="273"/>
      <c r="DK86" s="469"/>
      <c r="DL86" s="273"/>
      <c r="DM86" s="273"/>
      <c r="DN86" s="273"/>
      <c r="DO86" s="273"/>
      <c r="DP86" s="273"/>
      <c r="DQ86" s="273"/>
      <c r="DR86" s="273"/>
      <c r="DS86" s="273"/>
      <c r="DT86" s="273"/>
      <c r="DU86" s="273"/>
      <c r="DV86" s="273"/>
      <c r="DW86" s="273"/>
      <c r="DX86" s="273"/>
      <c r="DY86" s="469"/>
      <c r="DZ86" s="273"/>
      <c r="HG86" s="273"/>
      <c r="HH86" s="273"/>
    </row>
    <row r="87" spans="2:216" x14ac:dyDescent="0.2">
      <c r="CY87" s="273"/>
      <c r="CZ87" s="273"/>
      <c r="DA87" s="273"/>
      <c r="DB87" s="273"/>
      <c r="DC87" s="273"/>
      <c r="DD87" s="273"/>
      <c r="DE87" s="273"/>
      <c r="DF87" s="273"/>
      <c r="DG87" s="273"/>
      <c r="DH87" s="273"/>
      <c r="DI87" s="273"/>
      <c r="DJ87" s="273"/>
      <c r="DK87" s="469"/>
      <c r="DL87" s="273"/>
      <c r="DM87" s="273"/>
      <c r="DN87" s="273"/>
      <c r="DO87" s="273"/>
      <c r="DP87" s="273"/>
      <c r="DQ87" s="273"/>
      <c r="DR87" s="273"/>
      <c r="DS87" s="273"/>
      <c r="DT87" s="273"/>
      <c r="DU87" s="273"/>
      <c r="DV87" s="273"/>
      <c r="DW87" s="273"/>
      <c r="DX87" s="273"/>
      <c r="DY87" s="469"/>
      <c r="DZ87" s="273"/>
    </row>
  </sheetData>
  <autoFilter ref="B5:C13" xr:uid="{00000000-0001-0000-1900-000000000000}"/>
  <mergeCells count="18">
    <mergeCell ref="CY4:DK4"/>
    <mergeCell ref="DM4:DY4"/>
    <mergeCell ref="CK2:CW2"/>
    <mergeCell ref="CY2:DK2"/>
    <mergeCell ref="DM2:DY2"/>
    <mergeCell ref="BW4:CI4"/>
    <mergeCell ref="CK4:CW4"/>
    <mergeCell ref="E2:Q2"/>
    <mergeCell ref="S2:AE2"/>
    <mergeCell ref="AG2:AS2"/>
    <mergeCell ref="AU2:BG2"/>
    <mergeCell ref="BI2:BU2"/>
    <mergeCell ref="BW2:CI2"/>
    <mergeCell ref="E4:Q4"/>
    <mergeCell ref="S4:AE4"/>
    <mergeCell ref="AG4:AS4"/>
    <mergeCell ref="AU4:BG4"/>
    <mergeCell ref="BI4:BU4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2D7E-F965-47ED-A7D9-FAEC4DE1827C}">
  <sheetPr codeName="Hoja28">
    <tabColor theme="5" tint="0.39997558519241921"/>
  </sheetPr>
  <dimension ref="B1:GR49"/>
  <sheetViews>
    <sheetView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R21" sqref="R21"/>
    </sheetView>
  </sheetViews>
  <sheetFormatPr baseColWidth="10" defaultColWidth="4" defaultRowHeight="12.75" x14ac:dyDescent="0.2"/>
  <cols>
    <col min="1" max="1" width="2.42578125" style="246" customWidth="1"/>
    <col min="2" max="2" width="7.140625" style="246" customWidth="1"/>
    <col min="3" max="3" width="33.140625" style="246" bestFit="1" customWidth="1"/>
    <col min="4" max="4" width="1.5703125" customWidth="1"/>
    <col min="5" max="6" width="3.85546875" bestFit="1" customWidth="1"/>
    <col min="7" max="7" width="4" bestFit="1" customWidth="1"/>
    <col min="8" max="8" width="3.5703125" bestFit="1" customWidth="1"/>
    <col min="9" max="9" width="4.140625" bestFit="1" customWidth="1"/>
    <col min="10" max="10" width="3.5703125" bestFit="1" customWidth="1"/>
    <col min="11" max="11" width="3.140625" bestFit="1" customWidth="1"/>
    <col min="12" max="13" width="3.85546875" bestFit="1" customWidth="1"/>
    <col min="14" max="14" width="3.42578125" bestFit="1" customWidth="1"/>
    <col min="15" max="15" width="3.85546875" bestFit="1" customWidth="1"/>
    <col min="16" max="16" width="3.42578125" bestFit="1" customWidth="1"/>
    <col min="17" max="17" width="5" bestFit="1" customWidth="1"/>
    <col min="18" max="18" width="1.5703125" customWidth="1"/>
    <col min="19" max="20" width="3.85546875" bestFit="1" customWidth="1"/>
    <col min="21" max="21" width="4" bestFit="1" customWidth="1"/>
    <col min="22" max="22" width="3.5703125" bestFit="1" customWidth="1"/>
    <col min="23" max="23" width="4.140625" bestFit="1" customWidth="1"/>
    <col min="24" max="24" width="3.5703125" bestFit="1" customWidth="1"/>
    <col min="25" max="25" width="3.140625" bestFit="1" customWidth="1"/>
    <col min="26" max="27" width="3.85546875" bestFit="1" customWidth="1"/>
    <col min="28" max="28" width="3.42578125" bestFit="1" customWidth="1"/>
    <col min="29" max="29" width="3.85546875" bestFit="1" customWidth="1"/>
    <col min="30" max="30" width="3.42578125" bestFit="1" customWidth="1"/>
    <col min="31" max="31" width="5" bestFit="1" customWidth="1"/>
    <col min="32" max="33" width="1.5703125" customWidth="1"/>
    <col min="34" max="37" width="4" style="247" bestFit="1" customWidth="1"/>
    <col min="38" max="38" width="5" style="247" bestFit="1" customWidth="1"/>
    <col min="39" max="39" width="4" style="247" bestFit="1" customWidth="1"/>
    <col min="40" max="40" width="5.7109375" style="247" bestFit="1" customWidth="1"/>
    <col min="41" max="42" width="5" style="247" bestFit="1" customWidth="1"/>
    <col min="43" max="43" width="4" style="247" bestFit="1" customWidth="1"/>
    <col min="44" max="44" width="3.85546875" style="247" bestFit="1" customWidth="1"/>
    <col min="45" max="45" width="3.42578125" style="247" bestFit="1" customWidth="1"/>
    <col min="46" max="46" width="6.85546875" style="247" customWidth="1"/>
    <col min="47" max="47" width="5.28515625" style="248" bestFit="1" customWidth="1"/>
    <col min="48" max="52" width="4.42578125" style="247" bestFit="1" customWidth="1"/>
    <col min="53" max="53" width="3.5703125" style="247" bestFit="1" customWidth="1"/>
    <col min="54" max="55" width="4.42578125" style="247" bestFit="1" customWidth="1"/>
    <col min="56" max="56" width="3.85546875" style="247" bestFit="1" customWidth="1"/>
    <col min="57" max="57" width="4.42578125" style="247" bestFit="1" customWidth="1"/>
    <col min="58" max="58" width="4" style="247" customWidth="1"/>
    <col min="59" max="59" width="3.42578125" style="247" bestFit="1" customWidth="1"/>
    <col min="60" max="60" width="5.5703125" style="247" bestFit="1" customWidth="1"/>
    <col min="61" max="61" width="4.85546875" style="248" customWidth="1"/>
    <col min="62" max="62" width="5.5703125" style="247" customWidth="1"/>
    <col min="63" max="66" width="5.7109375" style="247" bestFit="1" customWidth="1"/>
    <col min="67" max="67" width="6.140625" style="247" customWidth="1"/>
    <col min="68" max="68" width="6.85546875" style="247" customWidth="1"/>
    <col min="69" max="70" width="4.85546875" style="247" bestFit="1" customWidth="1"/>
    <col min="71" max="71" width="5" style="247" bestFit="1" customWidth="1"/>
    <col min="72" max="73" width="4.85546875" style="247" bestFit="1" customWidth="1"/>
    <col min="74" max="74" width="6" style="247" bestFit="1" customWidth="1"/>
    <col min="75" max="75" width="4.85546875" style="248" customWidth="1"/>
    <col min="76" max="76" width="5.5703125" style="247" bestFit="1" customWidth="1"/>
    <col min="77" max="77" width="6" style="247" bestFit="1" customWidth="1"/>
    <col min="78" max="79" width="5.7109375" style="247" bestFit="1" customWidth="1"/>
    <col min="80" max="80" width="4.5703125" style="247" bestFit="1" customWidth="1"/>
    <col min="81" max="81" width="5.7109375" style="247" bestFit="1" customWidth="1"/>
    <col min="82" max="83" width="4.5703125" style="247" bestFit="1" customWidth="1"/>
    <col min="84" max="84" width="5" style="247" bestFit="1" customWidth="1"/>
    <col min="85" max="87" width="4" style="247" bestFit="1" customWidth="1"/>
    <col min="88" max="88" width="7.140625" style="247" customWidth="1"/>
    <col min="89" max="89" width="5.28515625" style="248" customWidth="1"/>
    <col min="90" max="90" width="5.7109375" style="247" bestFit="1" customWidth="1"/>
    <col min="91" max="97" width="5.7109375" style="247" customWidth="1"/>
    <col min="98" max="98" width="4.85546875" style="247" customWidth="1"/>
    <col min="99" max="101" width="5.7109375" style="247" customWidth="1"/>
    <col min="102" max="102" width="6.85546875" style="247" bestFit="1" customWidth="1"/>
    <col min="103" max="103" width="1.42578125" style="246" customWidth="1"/>
    <col min="104" max="104" width="5.7109375" style="247" bestFit="1" customWidth="1"/>
    <col min="105" max="111" width="5.7109375" style="247" customWidth="1"/>
    <col min="112" max="112" width="4.85546875" style="247" customWidth="1"/>
    <col min="113" max="115" width="5.7109375" style="247" customWidth="1"/>
    <col min="116" max="116" width="6.85546875" style="247" bestFit="1" customWidth="1"/>
    <col min="117" max="117" width="2.140625" style="246" customWidth="1"/>
    <col min="118" max="118" width="8" style="281" customWidth="1"/>
    <col min="119" max="125" width="5.7109375" style="281" customWidth="1"/>
    <col min="126" max="126" width="8" style="281" customWidth="1"/>
    <col min="127" max="129" width="5.7109375" style="281" customWidth="1"/>
    <col min="130" max="130" width="6.85546875" style="281" bestFit="1" customWidth="1"/>
    <col min="131" max="131" width="2" style="246" customWidth="1"/>
    <col min="132" max="140" width="6" style="246" bestFit="1" customWidth="1"/>
    <col min="141" max="141" width="4.42578125" style="246" bestFit="1" customWidth="1"/>
    <col min="142" max="143" width="3.5703125" style="246" bestFit="1" customWidth="1"/>
    <col min="144" max="144" width="7" style="246" bestFit="1" customWidth="1"/>
    <col min="145" max="157" width="4" style="246"/>
    <col min="158" max="158" width="5.28515625" style="246" customWidth="1"/>
    <col min="159" max="171" width="4" style="246"/>
    <col min="172" max="172" width="4.7109375" style="246" customWidth="1"/>
    <col min="173" max="173" width="1" style="246" customWidth="1"/>
    <col min="174" max="182" width="5" style="246" bestFit="1" customWidth="1"/>
    <col min="183" max="183" width="3.7109375" style="246" bestFit="1" customWidth="1"/>
    <col min="184" max="184" width="3.140625" style="246" bestFit="1" customWidth="1"/>
    <col min="185" max="185" width="3.5703125" style="246" bestFit="1" customWidth="1"/>
    <col min="186" max="186" width="6" style="246" bestFit="1" customWidth="1"/>
    <col min="187" max="187" width="1.140625" style="246" customWidth="1"/>
    <col min="188" max="196" width="5" style="246" bestFit="1" customWidth="1"/>
    <col min="197" max="197" width="3.7109375" style="246" bestFit="1" customWidth="1"/>
    <col min="198" max="199" width="3.5703125" style="246" bestFit="1" customWidth="1"/>
    <col min="200" max="200" width="6.28515625" style="246" bestFit="1" customWidth="1"/>
    <col min="201" max="16384" width="4" style="246"/>
  </cols>
  <sheetData>
    <row r="1" spans="2:200" ht="15.75" customHeight="1" x14ac:dyDescent="0.25">
      <c r="C1" s="280" t="s">
        <v>210</v>
      </c>
      <c r="EP1" s="801"/>
      <c r="EQ1" s="801"/>
      <c r="ER1" s="801"/>
      <c r="ES1" s="801"/>
      <c r="ET1" s="801"/>
      <c r="EU1" s="801"/>
      <c r="EV1" s="801"/>
      <c r="EW1" s="801"/>
      <c r="EX1" s="801"/>
      <c r="EY1" s="801"/>
      <c r="EZ1" s="801"/>
      <c r="FA1" s="801"/>
      <c r="FB1" s="801"/>
    </row>
    <row r="2" spans="2:200" ht="65.25" customHeight="1" x14ac:dyDescent="0.3">
      <c r="C2" s="250" t="str">
        <f>+NOMBRE!B7</f>
        <v>ENERO - OCTUBRE 2024</v>
      </c>
      <c r="E2" s="1036" t="s">
        <v>534</v>
      </c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8"/>
      <c r="S2" s="1036" t="s">
        <v>533</v>
      </c>
      <c r="T2" s="1037"/>
      <c r="U2" s="1037"/>
      <c r="V2" s="1037"/>
      <c r="W2" s="1037"/>
      <c r="X2" s="1037"/>
      <c r="Y2" s="1037"/>
      <c r="Z2" s="1037"/>
      <c r="AA2" s="1037"/>
      <c r="AB2" s="1037"/>
      <c r="AC2" s="1037"/>
      <c r="AD2" s="1037"/>
      <c r="AE2" s="1038"/>
      <c r="AH2" s="1036" t="s">
        <v>532</v>
      </c>
      <c r="AI2" s="1037"/>
      <c r="AJ2" s="1037"/>
      <c r="AK2" s="1037"/>
      <c r="AL2" s="1037"/>
      <c r="AM2" s="1037"/>
      <c r="AN2" s="1037"/>
      <c r="AO2" s="1037"/>
      <c r="AP2" s="1037"/>
      <c r="AQ2" s="1037"/>
      <c r="AR2" s="1037"/>
      <c r="AS2" s="1037"/>
      <c r="AT2" s="1038"/>
      <c r="AU2" s="282"/>
      <c r="AV2" s="1036" t="s">
        <v>531</v>
      </c>
      <c r="AW2" s="1037"/>
      <c r="AX2" s="1037"/>
      <c r="AY2" s="1037"/>
      <c r="AZ2" s="1037"/>
      <c r="BA2" s="1037"/>
      <c r="BB2" s="1037"/>
      <c r="BC2" s="1037"/>
      <c r="BD2" s="1037"/>
      <c r="BE2" s="1037"/>
      <c r="BF2" s="1037"/>
      <c r="BG2" s="1037"/>
      <c r="BH2" s="1038"/>
      <c r="BI2" s="282"/>
      <c r="BJ2" s="1040" t="s">
        <v>446</v>
      </c>
      <c r="BK2" s="1041"/>
      <c r="BL2" s="1041"/>
      <c r="BM2" s="1041"/>
      <c r="BN2" s="1041"/>
      <c r="BO2" s="1041"/>
      <c r="BP2" s="1041"/>
      <c r="BQ2" s="1041"/>
      <c r="BR2" s="1041"/>
      <c r="BS2" s="1041"/>
      <c r="BT2" s="1041"/>
      <c r="BU2" s="1041"/>
      <c r="BV2" s="1042"/>
      <c r="BW2" s="282"/>
      <c r="BX2" s="1040" t="s">
        <v>447</v>
      </c>
      <c r="BY2" s="1041"/>
      <c r="BZ2" s="1041"/>
      <c r="CA2" s="1041"/>
      <c r="CB2" s="1041"/>
      <c r="CC2" s="1041"/>
      <c r="CD2" s="1041"/>
      <c r="CE2" s="1041"/>
      <c r="CF2" s="1041"/>
      <c r="CG2" s="1041"/>
      <c r="CH2" s="1041"/>
      <c r="CI2" s="1041"/>
      <c r="CJ2" s="1042"/>
      <c r="CK2" s="282"/>
      <c r="CL2" s="1030" t="s">
        <v>211</v>
      </c>
      <c r="CM2" s="1031"/>
      <c r="CN2" s="1031"/>
      <c r="CO2" s="1031"/>
      <c r="CP2" s="1031"/>
      <c r="CQ2" s="1031"/>
      <c r="CR2" s="1031"/>
      <c r="CS2" s="1031"/>
      <c r="CT2" s="1031"/>
      <c r="CU2" s="1031"/>
      <c r="CV2" s="1031"/>
      <c r="CW2" s="1031"/>
      <c r="CX2" s="1032"/>
      <c r="CZ2" s="1030" t="s">
        <v>212</v>
      </c>
      <c r="DA2" s="1031"/>
      <c r="DB2" s="1031"/>
      <c r="DC2" s="1031"/>
      <c r="DD2" s="1031"/>
      <c r="DE2" s="1031"/>
      <c r="DF2" s="1031"/>
      <c r="DG2" s="1031"/>
      <c r="DH2" s="1031"/>
      <c r="DI2" s="1031"/>
      <c r="DJ2" s="1031"/>
      <c r="DK2" s="1031"/>
      <c r="DL2" s="1032"/>
      <c r="DM2" s="283"/>
      <c r="DN2" s="1043" t="s">
        <v>213</v>
      </c>
      <c r="DO2" s="1043"/>
      <c r="DP2" s="1043"/>
      <c r="DQ2" s="1043"/>
      <c r="DR2" s="1043"/>
      <c r="DS2" s="1043"/>
      <c r="DT2" s="1043"/>
      <c r="DU2" s="1043"/>
      <c r="DV2" s="1043"/>
      <c r="DW2" s="1043"/>
      <c r="DX2" s="1043"/>
      <c r="DY2" s="1043"/>
      <c r="DZ2" s="1043"/>
      <c r="EB2" s="1039" t="s">
        <v>448</v>
      </c>
      <c r="EC2" s="1039"/>
      <c r="ED2" s="1039"/>
      <c r="EE2" s="1039"/>
      <c r="EF2" s="1039"/>
      <c r="EG2" s="1039"/>
      <c r="EH2" s="1039"/>
      <c r="EI2" s="1039"/>
      <c r="EJ2" s="1039"/>
      <c r="EK2" s="1039"/>
      <c r="EL2" s="1039"/>
      <c r="EM2" s="1039"/>
      <c r="EN2" s="1039"/>
      <c r="EO2" s="284"/>
      <c r="EP2" s="1039" t="s">
        <v>449</v>
      </c>
      <c r="EQ2" s="1039"/>
      <c r="ER2" s="1039"/>
      <c r="ES2" s="1039"/>
      <c r="ET2" s="1039"/>
      <c r="EU2" s="1039"/>
      <c r="EV2" s="1039"/>
      <c r="EW2" s="1039"/>
      <c r="EX2" s="1039"/>
      <c r="EY2" s="1039"/>
      <c r="EZ2" s="1039"/>
      <c r="FA2" s="1039"/>
      <c r="FB2" s="1039"/>
      <c r="FC2" s="284"/>
      <c r="FD2" s="1039" t="s">
        <v>214</v>
      </c>
      <c r="FE2" s="1039"/>
      <c r="FF2" s="1039"/>
      <c r="FG2" s="1039"/>
      <c r="FH2" s="1039"/>
      <c r="FI2" s="1039"/>
      <c r="FJ2" s="1039"/>
      <c r="FK2" s="1039"/>
      <c r="FL2" s="1039"/>
      <c r="FM2" s="1039"/>
      <c r="FN2" s="1039"/>
      <c r="FO2" s="1039"/>
      <c r="FP2" s="1039"/>
      <c r="FQ2" s="284"/>
      <c r="FR2" s="1039" t="s">
        <v>215</v>
      </c>
      <c r="FS2" s="1039"/>
      <c r="FT2" s="1039"/>
      <c r="FU2" s="1039"/>
      <c r="FV2" s="1039"/>
      <c r="FW2" s="1039"/>
      <c r="FX2" s="1039"/>
      <c r="FY2" s="1039"/>
      <c r="FZ2" s="1039"/>
      <c r="GA2" s="1039"/>
      <c r="GB2" s="1039"/>
      <c r="GC2" s="1039"/>
      <c r="GD2" s="1039"/>
      <c r="GE2"/>
      <c r="GF2" s="1039" t="s">
        <v>216</v>
      </c>
      <c r="GG2" s="1039"/>
      <c r="GH2" s="1039"/>
      <c r="GI2" s="1039"/>
      <c r="GJ2" s="1039"/>
      <c r="GK2" s="1039"/>
      <c r="GL2" s="1039"/>
      <c r="GM2" s="1039"/>
      <c r="GN2" s="1039"/>
      <c r="GO2" s="1039"/>
      <c r="GP2" s="1039"/>
      <c r="GQ2" s="1039"/>
      <c r="GR2" s="1039"/>
    </row>
    <row r="3" spans="2:200" ht="6.75" customHeight="1" x14ac:dyDescent="0.3"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5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5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5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5"/>
      <c r="CY3" s="254"/>
      <c r="DM3" s="285"/>
      <c r="DN3" s="1043"/>
      <c r="DO3" s="1043"/>
      <c r="DP3" s="1043"/>
      <c r="DQ3" s="1043"/>
      <c r="DR3" s="1043"/>
      <c r="DS3" s="1043"/>
      <c r="DT3" s="1043"/>
      <c r="DU3" s="1043"/>
      <c r="DV3" s="1043"/>
      <c r="DW3" s="1043"/>
      <c r="DX3" s="1043"/>
      <c r="DY3" s="1043"/>
      <c r="DZ3" s="1043"/>
      <c r="EA3" s="254"/>
      <c r="EB3" s="1039"/>
      <c r="EC3" s="1039"/>
      <c r="ED3" s="1039"/>
      <c r="EE3" s="1039"/>
      <c r="EF3" s="1039"/>
      <c r="EG3" s="1039"/>
      <c r="EH3" s="1039"/>
      <c r="EI3" s="1039"/>
      <c r="EJ3" s="1039"/>
      <c r="EK3" s="1039"/>
      <c r="EL3" s="1039"/>
      <c r="EM3" s="1039"/>
      <c r="EN3" s="1039"/>
      <c r="EO3" s="284"/>
      <c r="EP3" s="1039"/>
      <c r="EQ3" s="1039"/>
      <c r="ER3" s="1039"/>
      <c r="ES3" s="1039"/>
      <c r="ET3" s="1039"/>
      <c r="EU3" s="1039"/>
      <c r="EV3" s="1039"/>
      <c r="EW3" s="1039"/>
      <c r="EX3" s="1039"/>
      <c r="EY3" s="1039"/>
      <c r="EZ3" s="1039"/>
      <c r="FA3" s="1039"/>
      <c r="FB3" s="1039"/>
      <c r="FC3" s="284"/>
      <c r="FD3" s="1039"/>
      <c r="FE3" s="1039"/>
      <c r="FF3" s="1039"/>
      <c r="FG3" s="1039"/>
      <c r="FH3" s="1039"/>
      <c r="FI3" s="1039"/>
      <c r="FJ3" s="1039"/>
      <c r="FK3" s="1039"/>
      <c r="FL3" s="1039"/>
      <c r="FM3" s="1039"/>
      <c r="FN3" s="1039"/>
      <c r="FO3" s="1039"/>
      <c r="FP3" s="1039"/>
      <c r="FQ3" s="284"/>
      <c r="FR3" s="1039"/>
      <c r="FS3" s="1039"/>
      <c r="FT3" s="1039"/>
      <c r="FU3" s="1039"/>
      <c r="FV3" s="1039"/>
      <c r="FW3" s="1039"/>
      <c r="FX3" s="1039"/>
      <c r="FY3" s="1039"/>
      <c r="FZ3" s="1039"/>
      <c r="GA3" s="1039"/>
      <c r="GB3" s="1039"/>
      <c r="GC3" s="1039"/>
      <c r="GD3" s="1039"/>
      <c r="GE3"/>
      <c r="GF3" s="1039"/>
      <c r="GG3" s="1039"/>
      <c r="GH3" s="1039"/>
      <c r="GI3" s="1039"/>
      <c r="GJ3" s="1039"/>
      <c r="GK3" s="1039"/>
      <c r="GL3" s="1039"/>
      <c r="GM3" s="1039"/>
      <c r="GN3" s="1039"/>
      <c r="GO3" s="1039"/>
      <c r="GP3" s="1039"/>
      <c r="GQ3" s="1039"/>
      <c r="GR3" s="1039"/>
    </row>
    <row r="4" spans="2:200" ht="21" x14ac:dyDescent="0.2">
      <c r="E4" s="1029" t="s">
        <v>188</v>
      </c>
      <c r="F4" s="1029"/>
      <c r="G4" s="1029"/>
      <c r="H4" s="1029"/>
      <c r="I4" s="1029"/>
      <c r="J4" s="1029"/>
      <c r="K4" s="1029"/>
      <c r="L4" s="1029"/>
      <c r="M4" s="1029"/>
      <c r="N4" s="1029"/>
      <c r="O4" s="1029"/>
      <c r="P4" s="1029"/>
      <c r="Q4" s="1029"/>
      <c r="S4" s="1029" t="s">
        <v>188</v>
      </c>
      <c r="T4" s="1029"/>
      <c r="U4" s="1029"/>
      <c r="V4" s="1029"/>
      <c r="W4" s="1029"/>
      <c r="X4" s="1029"/>
      <c r="Y4" s="1029"/>
      <c r="Z4" s="1029"/>
      <c r="AA4" s="1029"/>
      <c r="AB4" s="1029"/>
      <c r="AC4" s="1029"/>
      <c r="AD4" s="1029"/>
      <c r="AE4" s="1029"/>
      <c r="AH4" s="1029" t="s">
        <v>188</v>
      </c>
      <c r="AI4" s="1029"/>
      <c r="AJ4" s="1029"/>
      <c r="AK4" s="1029"/>
      <c r="AL4" s="1029"/>
      <c r="AM4" s="1029"/>
      <c r="AN4" s="1029"/>
      <c r="AO4" s="1029"/>
      <c r="AP4" s="1029"/>
      <c r="AQ4" s="1029"/>
      <c r="AR4" s="1029"/>
      <c r="AS4" s="1029"/>
      <c r="AT4" s="1029"/>
      <c r="AU4" s="255"/>
      <c r="AV4" s="1029" t="s">
        <v>188</v>
      </c>
      <c r="AW4" s="1029"/>
      <c r="AX4" s="1029"/>
      <c r="AY4" s="1029"/>
      <c r="AZ4" s="1029"/>
      <c r="BA4" s="1029"/>
      <c r="BB4" s="1029"/>
      <c r="BC4" s="1029"/>
      <c r="BD4" s="1029"/>
      <c r="BE4" s="1029"/>
      <c r="BF4" s="1029"/>
      <c r="BG4" s="1029"/>
      <c r="BH4" s="1029"/>
      <c r="BI4" s="255"/>
      <c r="BJ4" s="1029" t="s">
        <v>188</v>
      </c>
      <c r="BK4" s="1029"/>
      <c r="BL4" s="1029"/>
      <c r="BM4" s="1029"/>
      <c r="BN4" s="1029"/>
      <c r="BO4" s="1029"/>
      <c r="BP4" s="1029"/>
      <c r="BQ4" s="1029"/>
      <c r="BR4" s="1029"/>
      <c r="BS4" s="1029"/>
      <c r="BT4" s="1029"/>
      <c r="BU4" s="1029"/>
      <c r="BV4" s="1029"/>
      <c r="BW4" s="255"/>
      <c r="BX4" s="1029" t="s">
        <v>188</v>
      </c>
      <c r="BY4" s="1029"/>
      <c r="BZ4" s="1029"/>
      <c r="CA4" s="1029"/>
      <c r="CB4" s="1029"/>
      <c r="CC4" s="1029"/>
      <c r="CD4" s="1029"/>
      <c r="CE4" s="1029"/>
      <c r="CF4" s="1029"/>
      <c r="CG4" s="1029"/>
      <c r="CH4" s="1029"/>
      <c r="CI4" s="1029"/>
      <c r="CJ4" s="1029"/>
      <c r="CK4" s="255"/>
      <c r="CL4" s="1029" t="s">
        <v>188</v>
      </c>
      <c r="CM4" s="1029"/>
      <c r="CN4" s="1029"/>
      <c r="CO4" s="1029"/>
      <c r="CP4" s="1029"/>
      <c r="CQ4" s="1029"/>
      <c r="CR4" s="1029"/>
      <c r="CS4" s="1029"/>
      <c r="CT4" s="1029"/>
      <c r="CU4" s="1029"/>
      <c r="CV4" s="1029"/>
      <c r="CW4" s="1029"/>
      <c r="CX4" s="1029"/>
      <c r="CY4" s="254"/>
      <c r="CZ4" s="1029" t="s">
        <v>188</v>
      </c>
      <c r="DA4" s="1029"/>
      <c r="DB4" s="1029"/>
      <c r="DC4" s="1029"/>
      <c r="DD4" s="1029"/>
      <c r="DE4" s="1029"/>
      <c r="DF4" s="1029"/>
      <c r="DG4" s="1029"/>
      <c r="DH4" s="1029"/>
      <c r="DI4" s="1029"/>
      <c r="DJ4" s="1029"/>
      <c r="DK4" s="1029"/>
      <c r="DL4" s="1029"/>
      <c r="DM4" s="285"/>
      <c r="DN4" s="286" t="s">
        <v>189</v>
      </c>
      <c r="DO4" s="286" t="s">
        <v>190</v>
      </c>
      <c r="DP4" s="286" t="s">
        <v>191</v>
      </c>
      <c r="DQ4" s="286" t="s">
        <v>192</v>
      </c>
      <c r="DR4" s="286" t="s">
        <v>193</v>
      </c>
      <c r="DS4" s="286" t="s">
        <v>194</v>
      </c>
      <c r="DT4" s="286" t="s">
        <v>195</v>
      </c>
      <c r="DU4" s="286" t="s">
        <v>196</v>
      </c>
      <c r="DV4" s="286" t="s">
        <v>197</v>
      </c>
      <c r="DW4" s="286" t="s">
        <v>198</v>
      </c>
      <c r="DX4" s="286" t="s">
        <v>199</v>
      </c>
      <c r="DY4" s="286" t="s">
        <v>200</v>
      </c>
      <c r="DZ4" s="287" t="s">
        <v>203</v>
      </c>
      <c r="EA4" s="254"/>
      <c r="EB4" s="288" t="s">
        <v>189</v>
      </c>
      <c r="EC4" s="288" t="s">
        <v>190</v>
      </c>
      <c r="ED4" s="288" t="s">
        <v>191</v>
      </c>
      <c r="EE4" s="288" t="s">
        <v>192</v>
      </c>
      <c r="EF4" s="288" t="s">
        <v>193</v>
      </c>
      <c r="EG4" s="288" t="s">
        <v>194</v>
      </c>
      <c r="EH4" s="288" t="s">
        <v>195</v>
      </c>
      <c r="EI4" s="288" t="s">
        <v>196</v>
      </c>
      <c r="EJ4" s="288" t="s">
        <v>197</v>
      </c>
      <c r="EK4" s="288" t="s">
        <v>198</v>
      </c>
      <c r="EL4" s="288" t="s">
        <v>199</v>
      </c>
      <c r="EM4" s="288" t="s">
        <v>200</v>
      </c>
      <c r="EN4" s="289" t="s">
        <v>203</v>
      </c>
      <c r="EO4"/>
      <c r="EP4" s="288" t="s">
        <v>189</v>
      </c>
      <c r="EQ4" s="288" t="s">
        <v>190</v>
      </c>
      <c r="ER4" s="288" t="s">
        <v>191</v>
      </c>
      <c r="ES4" s="288" t="s">
        <v>192</v>
      </c>
      <c r="ET4" s="288" t="s">
        <v>193</v>
      </c>
      <c r="EU4" s="288" t="s">
        <v>194</v>
      </c>
      <c r="EV4" s="288" t="s">
        <v>195</v>
      </c>
      <c r="EW4" s="288" t="s">
        <v>196</v>
      </c>
      <c r="EX4" s="288" t="s">
        <v>197</v>
      </c>
      <c r="EY4" s="288" t="s">
        <v>198</v>
      </c>
      <c r="EZ4" s="288" t="s">
        <v>199</v>
      </c>
      <c r="FA4" s="288" t="s">
        <v>200</v>
      </c>
      <c r="FB4" s="289" t="s">
        <v>203</v>
      </c>
      <c r="FC4"/>
      <c r="FD4" s="288" t="s">
        <v>189</v>
      </c>
      <c r="FE4" s="288" t="s">
        <v>190</v>
      </c>
      <c r="FF4" s="288" t="s">
        <v>191</v>
      </c>
      <c r="FG4" s="288" t="s">
        <v>192</v>
      </c>
      <c r="FH4" s="288" t="s">
        <v>193</v>
      </c>
      <c r="FI4" s="288" t="s">
        <v>194</v>
      </c>
      <c r="FJ4" s="288" t="s">
        <v>195</v>
      </c>
      <c r="FK4" s="288" t="s">
        <v>196</v>
      </c>
      <c r="FL4" s="288" t="s">
        <v>197</v>
      </c>
      <c r="FM4" s="288" t="s">
        <v>198</v>
      </c>
      <c r="FN4" s="288" t="s">
        <v>199</v>
      </c>
      <c r="FO4" s="288" t="s">
        <v>200</v>
      </c>
      <c r="FP4" s="289" t="s">
        <v>203</v>
      </c>
      <c r="FQ4"/>
      <c r="FR4" s="288" t="s">
        <v>189</v>
      </c>
      <c r="FS4" s="288" t="s">
        <v>190</v>
      </c>
      <c r="FT4" s="288" t="s">
        <v>191</v>
      </c>
      <c r="FU4" s="288" t="s">
        <v>192</v>
      </c>
      <c r="FV4" s="288" t="s">
        <v>193</v>
      </c>
      <c r="FW4" s="288" t="s">
        <v>194</v>
      </c>
      <c r="FX4" s="288" t="s">
        <v>195</v>
      </c>
      <c r="FY4" s="288" t="s">
        <v>196</v>
      </c>
      <c r="FZ4" s="288" t="s">
        <v>197</v>
      </c>
      <c r="GA4" s="288" t="s">
        <v>198</v>
      </c>
      <c r="GB4" s="288" t="s">
        <v>199</v>
      </c>
      <c r="GC4" s="288" t="s">
        <v>200</v>
      </c>
      <c r="GD4" s="289" t="s">
        <v>203</v>
      </c>
      <c r="GE4"/>
      <c r="GF4" s="288" t="s">
        <v>189</v>
      </c>
      <c r="GG4" s="288" t="s">
        <v>190</v>
      </c>
      <c r="GH4" s="288" t="s">
        <v>191</v>
      </c>
      <c r="GI4" s="288" t="s">
        <v>192</v>
      </c>
      <c r="GJ4" s="288" t="s">
        <v>193</v>
      </c>
      <c r="GK4" s="288" t="s">
        <v>194</v>
      </c>
      <c r="GL4" s="288" t="s">
        <v>195</v>
      </c>
      <c r="GM4" s="288" t="s">
        <v>196</v>
      </c>
      <c r="GN4" s="288" t="s">
        <v>197</v>
      </c>
      <c r="GO4" s="288" t="s">
        <v>198</v>
      </c>
      <c r="GP4" s="288" t="s">
        <v>199</v>
      </c>
      <c r="GQ4" s="288" t="s">
        <v>200</v>
      </c>
      <c r="GR4" s="289" t="s">
        <v>203</v>
      </c>
    </row>
    <row r="5" spans="2:200" x14ac:dyDescent="0.2">
      <c r="B5" s="290" t="s">
        <v>93</v>
      </c>
      <c r="C5" s="291" t="s">
        <v>94</v>
      </c>
      <c r="E5" s="257" t="s">
        <v>189</v>
      </c>
      <c r="F5" s="257" t="s">
        <v>190</v>
      </c>
      <c r="G5" s="257" t="s">
        <v>191</v>
      </c>
      <c r="H5" s="257" t="s">
        <v>192</v>
      </c>
      <c r="I5" s="257" t="s">
        <v>193</v>
      </c>
      <c r="J5" s="257" t="s">
        <v>194</v>
      </c>
      <c r="K5" s="257" t="s">
        <v>195</v>
      </c>
      <c r="L5" s="257" t="s">
        <v>196</v>
      </c>
      <c r="M5" s="257" t="s">
        <v>197</v>
      </c>
      <c r="N5" s="257" t="s">
        <v>198</v>
      </c>
      <c r="O5" s="257" t="s">
        <v>199</v>
      </c>
      <c r="P5" s="257" t="s">
        <v>200</v>
      </c>
      <c r="Q5" s="258" t="s">
        <v>201</v>
      </c>
      <c r="S5" s="257" t="s">
        <v>189</v>
      </c>
      <c r="T5" s="257" t="s">
        <v>190</v>
      </c>
      <c r="U5" s="257" t="s">
        <v>191</v>
      </c>
      <c r="V5" s="257" t="s">
        <v>192</v>
      </c>
      <c r="W5" s="257" t="s">
        <v>193</v>
      </c>
      <c r="X5" s="257" t="s">
        <v>194</v>
      </c>
      <c r="Y5" s="257" t="s">
        <v>195</v>
      </c>
      <c r="Z5" s="257" t="s">
        <v>196</v>
      </c>
      <c r="AA5" s="257" t="s">
        <v>197</v>
      </c>
      <c r="AB5" s="257" t="s">
        <v>198</v>
      </c>
      <c r="AC5" s="257" t="s">
        <v>199</v>
      </c>
      <c r="AD5" s="257" t="s">
        <v>200</v>
      </c>
      <c r="AE5" s="258" t="s">
        <v>201</v>
      </c>
      <c r="AH5" s="257" t="s">
        <v>189</v>
      </c>
      <c r="AI5" s="257" t="s">
        <v>190</v>
      </c>
      <c r="AJ5" s="257" t="s">
        <v>191</v>
      </c>
      <c r="AK5" s="257" t="s">
        <v>192</v>
      </c>
      <c r="AL5" s="257" t="s">
        <v>193</v>
      </c>
      <c r="AM5" s="257" t="s">
        <v>194</v>
      </c>
      <c r="AN5" s="257" t="s">
        <v>195</v>
      </c>
      <c r="AO5" s="257" t="s">
        <v>196</v>
      </c>
      <c r="AP5" s="257" t="s">
        <v>197</v>
      </c>
      <c r="AQ5" s="257" t="s">
        <v>198</v>
      </c>
      <c r="AR5" s="257" t="s">
        <v>199</v>
      </c>
      <c r="AS5" s="257" t="s">
        <v>200</v>
      </c>
      <c r="AT5" s="258" t="s">
        <v>201</v>
      </c>
      <c r="AU5" s="254"/>
      <c r="AV5" s="257" t="s">
        <v>189</v>
      </c>
      <c r="AW5" s="257" t="s">
        <v>190</v>
      </c>
      <c r="AX5" s="257" t="s">
        <v>191</v>
      </c>
      <c r="AY5" s="257" t="s">
        <v>192</v>
      </c>
      <c r="AZ5" s="257" t="s">
        <v>193</v>
      </c>
      <c r="BA5" s="257" t="s">
        <v>194</v>
      </c>
      <c r="BB5" s="257" t="s">
        <v>195</v>
      </c>
      <c r="BC5" s="257" t="s">
        <v>196</v>
      </c>
      <c r="BD5" s="257" t="s">
        <v>197</v>
      </c>
      <c r="BE5" s="257" t="s">
        <v>198</v>
      </c>
      <c r="BF5" s="257" t="s">
        <v>199</v>
      </c>
      <c r="BG5" s="257" t="s">
        <v>200</v>
      </c>
      <c r="BH5" s="258" t="s">
        <v>201</v>
      </c>
      <c r="BI5" s="254"/>
      <c r="BJ5" s="257" t="s">
        <v>189</v>
      </c>
      <c r="BK5" s="257" t="s">
        <v>190</v>
      </c>
      <c r="BL5" s="257" t="s">
        <v>191</v>
      </c>
      <c r="BM5" s="257" t="s">
        <v>192</v>
      </c>
      <c r="BN5" s="257" t="s">
        <v>193</v>
      </c>
      <c r="BO5" s="257" t="s">
        <v>194</v>
      </c>
      <c r="BP5" s="257" t="s">
        <v>195</v>
      </c>
      <c r="BQ5" s="257" t="s">
        <v>196</v>
      </c>
      <c r="BR5" s="257" t="s">
        <v>197</v>
      </c>
      <c r="BS5" s="257" t="s">
        <v>198</v>
      </c>
      <c r="BT5" s="257" t="s">
        <v>199</v>
      </c>
      <c r="BU5" s="257" t="s">
        <v>200</v>
      </c>
      <c r="BV5" s="258" t="s">
        <v>201</v>
      </c>
      <c r="BW5" s="254"/>
      <c r="BX5" s="257" t="s">
        <v>189</v>
      </c>
      <c r="BY5" s="257" t="s">
        <v>190</v>
      </c>
      <c r="BZ5" s="257" t="s">
        <v>191</v>
      </c>
      <c r="CA5" s="257" t="s">
        <v>192</v>
      </c>
      <c r="CB5" s="257" t="s">
        <v>193</v>
      </c>
      <c r="CC5" s="257" t="s">
        <v>194</v>
      </c>
      <c r="CD5" s="257" t="s">
        <v>195</v>
      </c>
      <c r="CE5" s="257" t="s">
        <v>196</v>
      </c>
      <c r="CF5" s="257" t="s">
        <v>197</v>
      </c>
      <c r="CG5" s="257" t="s">
        <v>198</v>
      </c>
      <c r="CH5" s="257" t="s">
        <v>199</v>
      </c>
      <c r="CI5" s="257" t="s">
        <v>200</v>
      </c>
      <c r="CJ5" s="258" t="s">
        <v>201</v>
      </c>
      <c r="CK5" s="254"/>
      <c r="CL5" s="257" t="s">
        <v>189</v>
      </c>
      <c r="CM5" s="257" t="s">
        <v>190</v>
      </c>
      <c r="CN5" s="257" t="s">
        <v>191</v>
      </c>
      <c r="CO5" s="257" t="s">
        <v>192</v>
      </c>
      <c r="CP5" s="257" t="s">
        <v>193</v>
      </c>
      <c r="CQ5" s="257" t="s">
        <v>194</v>
      </c>
      <c r="CR5" s="257" t="s">
        <v>195</v>
      </c>
      <c r="CS5" s="257" t="s">
        <v>196</v>
      </c>
      <c r="CT5" s="257" t="s">
        <v>197</v>
      </c>
      <c r="CU5" s="257" t="s">
        <v>198</v>
      </c>
      <c r="CV5" s="257" t="s">
        <v>199</v>
      </c>
      <c r="CW5" s="257" t="s">
        <v>200</v>
      </c>
      <c r="CX5" s="258" t="s">
        <v>201</v>
      </c>
      <c r="CY5" s="254"/>
      <c r="CZ5" s="257" t="s">
        <v>189</v>
      </c>
      <c r="DA5" s="257" t="s">
        <v>190</v>
      </c>
      <c r="DB5" s="257" t="s">
        <v>191</v>
      </c>
      <c r="DC5" s="257" t="s">
        <v>192</v>
      </c>
      <c r="DD5" s="257" t="s">
        <v>193</v>
      </c>
      <c r="DE5" s="257" t="s">
        <v>194</v>
      </c>
      <c r="DF5" s="257" t="s">
        <v>195</v>
      </c>
      <c r="DG5" s="257" t="s">
        <v>196</v>
      </c>
      <c r="DH5" s="257" t="s">
        <v>197</v>
      </c>
      <c r="DI5" s="257" t="s">
        <v>198</v>
      </c>
      <c r="DJ5" s="257" t="s">
        <v>199</v>
      </c>
      <c r="DK5" s="257" t="s">
        <v>200</v>
      </c>
      <c r="DL5" s="258" t="s">
        <v>201</v>
      </c>
      <c r="DM5" s="285"/>
      <c r="DN5" s="292"/>
      <c r="DO5" s="292"/>
      <c r="DP5" s="292"/>
      <c r="DQ5" s="292"/>
      <c r="DR5" s="292"/>
      <c r="DS5" s="292"/>
      <c r="DT5" s="292"/>
      <c r="DU5" s="292"/>
      <c r="DV5" s="292"/>
      <c r="DW5" s="292"/>
      <c r="DX5" s="292"/>
      <c r="DY5" s="292"/>
      <c r="DZ5" s="293"/>
      <c r="EA5" s="254"/>
      <c r="EB5" s="270"/>
      <c r="EC5" s="254"/>
      <c r="ED5" s="254"/>
      <c r="EE5" s="254"/>
      <c r="EN5" s="294"/>
      <c r="EP5" s="295"/>
      <c r="FB5" s="294"/>
      <c r="FD5" s="295"/>
      <c r="FP5" s="294"/>
      <c r="FR5" s="295"/>
      <c r="GD5" s="294"/>
      <c r="GF5" s="295"/>
      <c r="GR5" s="294"/>
    </row>
    <row r="6" spans="2:200" x14ac:dyDescent="0.2">
      <c r="B6" s="148">
        <v>107307</v>
      </c>
      <c r="C6" s="149" t="s">
        <v>95</v>
      </c>
      <c r="D6" s="246"/>
      <c r="E6" s="787">
        <f>SUM([2]A05!$H$114,[2]A05!$J$114,[2]A05!$L$114,[2]A05!$N$114,[2]A05!$P$114,[2]A05!$R$114,[2]A05!$T$114,[2]A05!$V$114,[2]A05!$X$114)</f>
        <v>28</v>
      </c>
      <c r="F6" s="786">
        <f>SUM([3]A05!$H$114,[3]A05!$J$114,[3]A05!$L$114,[3]A05!$N$114,[3]A05!$P$114,[3]A05!$R$114,[3]A05!$T$114,[3]A05!$V$114,[3]A05!$X$114)</f>
        <v>7</v>
      </c>
      <c r="G6" s="787">
        <f>SUM([4]A05!$H$114,[4]A05!$J$114,[4]A05!$L$114,[4]A05!$N$114,[4]A05!$P$114,[4]A05!$R$114,[4]A05!$T$114,[4]A05!$V$114,[4]A05!$X$114)</f>
        <v>18</v>
      </c>
      <c r="H6" s="787">
        <f>SUM([5]A05!$H$114,[5]A05!$J$114,[5]A05!$L$114,[5]A05!$N$114,[5]A05!$P$114,[5]A05!$R$114,[5]A05!$T$114,[5]A05!$V$114,[5]A05!$X$114)</f>
        <v>12</v>
      </c>
      <c r="I6" s="787">
        <f>SUM([6]A05!$H$114,[6]A05!$J$114,[6]A05!$L$114,[6]A05!$N$114,[6]A05!$P$114,[6]A05!$R$114,[6]A05!$T$114,[6]A05!$V$114,[6]A05!$X$114)</f>
        <v>15</v>
      </c>
      <c r="J6" s="787">
        <f>SUM([7]A05!$H$114,[7]A05!$J$114,[7]A05!$L$114,[7]A05!$N$114,[7]A05!$P$114,[7]A05!$R$114,[7]A05!$T$114,[7]A05!$V$114,[7]A05!$X$114)</f>
        <v>17</v>
      </c>
      <c r="K6" s="787">
        <f>SUM([8]A05!$H$114,[8]A05!$J$114,[8]A05!$L$114,[8]A05!$N$114,[8]A05!$P$114,[8]A05!$R$114,[8]A05!$T$114,[8]A05!$V$114,[8]A05!$X$114)</f>
        <v>13</v>
      </c>
      <c r="L6" s="787">
        <f>SUM([9]A05!$H$114,[9]A05!$J$114,[9]A05!$L$114,[9]A05!$N$114,[9]A05!$P$114,[9]A05!$R$114,[9]A05!$T$114,[9]A05!$V$114,[9]A05!$X$114)</f>
        <v>16</v>
      </c>
      <c r="M6" s="787">
        <f>SUM([10]A05!$H$114,[10]A05!$J$114,[10]A05!$L$114,[10]A05!$N$114,[10]A05!$P$114,[10]A05!$R$114,[10]A05!$T$114,[10]A05!$V$114,[10]A05!$X$114)</f>
        <v>14</v>
      </c>
      <c r="N6" s="787">
        <f>SUM([11]A05!$H$114,[11]A05!$J$114,[11]A05!$L$114,[11]A05!$N$114,[11]A05!$P$114,[11]A05!$R$114,[11]A05!$T$114,[11]A05!$V$114,[11]A05!$X$114)</f>
        <v>18</v>
      </c>
      <c r="O6" s="787">
        <f>SUM([12]A05!$H$114,[12]A05!$J$114,[12]A05!$L$114,[12]A05!$N$114,[12]A05!$P$114,[12]A05!$R$114,[12]A05!$T$114,[12]A05!$V$114,[12]A05!$X$114)</f>
        <v>0</v>
      </c>
      <c r="P6" s="787">
        <f>SUM([13]A05!$H$114,[13]A05!$J$114,[13]A05!$L$114,[13]A05!$N$114,[13]A05!$P$114,[13]A05!$R$114,[13]A05!$T$114,[13]A05!$V$114,[13]A05!$X$114)</f>
        <v>0</v>
      </c>
      <c r="Q6" s="617">
        <f>SUM(E6:P6)</f>
        <v>158</v>
      </c>
      <c r="R6" s="246"/>
      <c r="S6" s="618">
        <f>SUM([2]A05!$I$114,[2]A05!$K$114,[2]A05!$M$114,[2]A05!$O$114,[2]A05!$Q$114,[2]A05!$S$114,[2]A05!$U$114,[2]A05!$W$114,[2]A05!$Y$114)</f>
        <v>36</v>
      </c>
      <c r="T6" s="786">
        <f>SUM([3]A05!$I$114,[3]A05!$K$114,[3]A05!$M$114,[3]A05!$O$114,[3]A05!$Q$114,[3]A05!$S$114,[3]A05!$U$114,[3]A05!$W$114,[3]A05!$Y$114)</f>
        <v>13</v>
      </c>
      <c r="U6" s="618">
        <f>SUM([4]A05!$I$114,[4]A05!$K$114,[4]A05!$M$114,[4]A05!$O$114,[4]A05!$Q$114,[4]A05!$S$114,[4]A05!$U$114,[4]A05!$W$114,[4]A05!$Y$114)</f>
        <v>30</v>
      </c>
      <c r="V6" s="618">
        <f>SUM([5]A05!$I$114,[5]A05!$K$114,[5]A05!$M$114,[5]A05!$O$114,[5]A05!$Q$114,[5]A05!$S$114,[5]A05!$U$114,[5]A05!$W$114,[5]A05!$Y$114)</f>
        <v>24</v>
      </c>
      <c r="W6" s="618">
        <f>SUM([6]A05!$I$114,[6]A05!$K$114,[6]A05!$M$114,[6]A05!$O$114,[6]A05!$Q$114,[6]A05!$S$114,[6]A05!$U$114,[6]A05!$W$114,[6]A05!$Y$114)</f>
        <v>26</v>
      </c>
      <c r="X6" s="618">
        <f>SUM([7]A05!$I$114,[7]A05!$K$114,[7]A05!$M$114,[7]A05!$O$114,[7]A05!$Q$114,[7]A05!$S$114,[7]A05!$U$114,[7]A05!$W$114,[7]A05!$Y$114)</f>
        <v>25</v>
      </c>
      <c r="Y6" s="618">
        <f>SUM([8]A05!$I$114,[8]A05!$K$114,[8]A05!$M$114,[8]A05!$O$114,[8]A05!$Q$114,[8]A05!$S$114,[8]A05!$U$114,[8]A05!$W$114,[8]A05!$Y$114)</f>
        <v>28</v>
      </c>
      <c r="Z6" s="618">
        <f>SUM([9]A05!$I$114,[9]A05!$K$114,[9]A05!$M$114,[9]A05!$O$114,[9]A05!$Q$114,[9]A05!$S$114,[9]A05!$U$114,[9]A05!$W$114,[9]A05!$Y$114)</f>
        <v>19</v>
      </c>
      <c r="AA6" s="618">
        <f>SUM([10]A05!$I$114,[10]A05!$K$114,[10]A05!$M$114,[10]A05!$O$114,[10]A05!$Q$114,[10]A05!$S$114,[10]A05!$U$114,[10]A05!$W$114,[10]A05!$Y$114)</f>
        <v>33</v>
      </c>
      <c r="AB6" s="618">
        <f>SUM([11]A05!$I$114,[11]A05!$K$114,[11]A05!$M$114,[11]A05!$O$114,[11]A05!$Q$114,[11]A05!$S$114,[11]A05!$U$114,[11]A05!$W$114,[11]A05!$Y$114)</f>
        <v>35</v>
      </c>
      <c r="AC6" s="618">
        <f>SUM([12]A05!$I$114,[12]A05!$K$114,[12]A05!$M$114,[12]A05!$O$114,[12]A05!$Q$114,[12]A05!$S$114,[12]A05!$U$114,[12]A05!$W$114,[12]A05!$Y$114)</f>
        <v>0</v>
      </c>
      <c r="AD6" s="618">
        <f>SUM([13]A05!$I$114,[13]A05!$K$114,[13]A05!$M$114,[13]A05!$O$114,[13]A05!$Q$114,[13]A05!$S$114,[13]A05!$U$114,[13]A05!$W$114,[13]A05!$Y$114)</f>
        <v>0</v>
      </c>
      <c r="AE6" s="617">
        <f>SUM(S6:AD6)</f>
        <v>269</v>
      </c>
      <c r="AF6" s="246"/>
      <c r="AG6" s="246"/>
      <c r="AH6" s="618">
        <f>SUM([2]A05!$H$127,[2]A05!$J$127,[2]A05!$L$127,[2]A05!$N$127,[2]A05!$P$127,[2]A05!$R$127,[2]A05!$T$127,[2]A05!$V$127,[2]A05!$X$127)</f>
        <v>3</v>
      </c>
      <c r="AI6" s="786">
        <f>SUM([3]A05!$H$127,[3]A05!$J$127,[3]A05!$L$127,[3]A05!$N$127,[3]A05!$P$127,[3]A05!$R$127,[3]A05!$T$127,[3]A05!$V$127,[3]A05!$X$127)</f>
        <v>2</v>
      </c>
      <c r="AJ6" s="618">
        <f>SUM([4]A05!$H$127,[4]A05!$J$127,[4]A05!$L$127,[4]A05!$N$127,[4]A05!$P$127,[4]A05!$R$127,[4]A05!$T$127,[4]A05!$V$127,[4]A05!$X$127)</f>
        <v>0</v>
      </c>
      <c r="AK6" s="618">
        <f>SUM([5]A05!$H$127,[5]A05!$J$127,[5]A05!$L$127,[5]A05!$N$127,[5]A05!$P$127,[5]A05!$R$127,[5]A05!$T$127,[5]A05!$V$127,[5]A05!$X$127)</f>
        <v>3</v>
      </c>
      <c r="AL6" s="618">
        <f>SUM([6]A05!$H$127,[6]A05!$J$127,[6]A05!$L$127,[6]A05!$N$127,[6]A05!$P$127,[6]A05!$R$127,[6]A05!$T$127,[6]A05!$V$127,[6]A05!$X$127)</f>
        <v>0</v>
      </c>
      <c r="AM6" s="618">
        <f>SUM([7]A05!$H$127,[7]A05!$J$127,[7]A05!$L$127,[7]A05!$N$127,[7]A05!$P$127,[7]A05!$R$127,[7]A05!$T$127,[7]A05!$V$127,[7]A05!$X$127)</f>
        <v>4</v>
      </c>
      <c r="AN6" s="618">
        <f>SUM([8]A05!$H$127,[8]A05!$J$127,[8]A05!$L$127,[8]A05!$N$127,[8]A05!$P$127,[8]A05!$R$127,[8]A05!$T$127,[8]A05!$V$127,[8]A05!$X$127)</f>
        <v>1</v>
      </c>
      <c r="AO6" s="618">
        <f>SUM([9]A05!$H$127,[9]A05!$J$127,[9]A05!$L$127,[9]A05!$N$127,[9]A05!$P$127,[9]A05!$R$127,[9]A05!$T$127,[9]A05!$V$127,[9]A05!$X$127)</f>
        <v>0</v>
      </c>
      <c r="AP6" s="618">
        <f>SUM([10]A05!$H$127,[10]A05!$J$127,[10]A05!$L$127,[10]A05!$N$127,[10]A05!$P$127,[10]A05!$R$127,[10]A05!$T$127,[10]A05!$V$127,[10]A05!$X$127)</f>
        <v>0</v>
      </c>
      <c r="AQ6" s="618">
        <f>SUM([11]A05!$H$127,[11]A05!$J$127,[11]A05!$L$127,[11]A05!$N$127,[11]A05!$P$127,[11]A05!$R$127,[11]A05!$T$127,[11]A05!$V$127,[11]A05!$X$127)</f>
        <v>2</v>
      </c>
      <c r="AR6" s="618">
        <f>SUM([12]A05!$H$127,[12]A05!$J$127,[12]A05!$L$127,[12]A05!$N$127,[12]A05!$P$127,[12]A05!$R$127,[12]A05!$T$127,[12]A05!$V$127,[12]A05!$X$127)</f>
        <v>0</v>
      </c>
      <c r="AS6" s="618">
        <f>SUM([13]A05!$H$127,[13]A05!$J$127,[13]A05!$L$127,[13]A05!$N$127,[13]A05!$P$127,[13]A05!$R$127,[13]A05!$T$127,[13]A05!$V$127,[13]A05!$X$127)</f>
        <v>0</v>
      </c>
      <c r="AT6" s="617">
        <f>SUM(AH6:AS6)</f>
        <v>15</v>
      </c>
      <c r="AU6" s="254"/>
      <c r="AV6" s="618">
        <f>SUM([2]A05!$I$127,[2]A05!$K$127,[2]A05!$M$127,[2]A05!$O$127,[2]A05!$Q$127,[2]A05!$S$127,[2]A05!$U$127,[2]A05!$W$127,[2]A05!$Y$127)</f>
        <v>3</v>
      </c>
      <c r="AW6" s="786">
        <f>SUM([3]A05!$I$127,[3]A05!$K$127,[3]A05!$M$127,[3]A05!$O$127,[3]A05!$Q$127,[3]A05!$S$127,[3]A05!$U$127,[3]A05!$W$127,[3]A05!$Y$127)</f>
        <v>2</v>
      </c>
      <c r="AX6" s="618">
        <f>SUM([4]A05!$I$127,[4]A05!$K$127,[4]A05!$M$127,[4]A05!$O$127,[4]A05!$Q$127,[4]A05!$S$127,[4]A05!$U$127,[4]A05!$W$127,[4]A05!$Y$127)</f>
        <v>0</v>
      </c>
      <c r="AY6" s="618">
        <f>SUM([5]A05!$I$127,[5]A05!$K$127,[5]A05!$M$127,[5]A05!$O$127,[5]A05!$Q$127,[5]A05!$S$127,[5]A05!$U$127,[5]A05!$W$127,[5]A05!$Y$127)</f>
        <v>9</v>
      </c>
      <c r="AZ6" s="618">
        <f>SUM([6]A05!$I$127,[6]A05!$K$127,[6]A05!$M$127,[6]A05!$O$127,[6]A05!$Q$127,[6]A05!$S$127,[6]A05!$U$127,[6]A05!$W$127,[6]A05!$Y$127)</f>
        <v>0</v>
      </c>
      <c r="BA6" s="618">
        <f>SUM([7]A05!$I$127,[7]A05!$K$127,[7]A05!$M$127,[7]A05!$O$127,[7]A05!$Q$127,[7]A05!$S$127,[7]A05!$U$127,[7]A05!$W$127,[7]A05!$Y$127)</f>
        <v>4</v>
      </c>
      <c r="BB6" s="618">
        <f>SUM([8]A05!$I$127,[8]A05!$K$127,[8]A05!$M$127,[8]A05!$O$127,[8]A05!$Q$127,[8]A05!$S$127,[8]A05!$U$127,[8]A05!$W$127,[8]A05!$Y$127)</f>
        <v>0</v>
      </c>
      <c r="BC6" s="618">
        <f>SUM([9]A05!$I$127,[9]A05!$K$127,[9]A05!$M$127,[9]A05!$O$127,[9]A05!$Q$127,[9]A05!$S$127,[9]A05!$U$127,[9]A05!$W$127,[9]A05!$Y$127)</f>
        <v>0</v>
      </c>
      <c r="BD6" s="618">
        <f>SUM([10]A05!$I$127,[10]A05!$K$127,[10]A05!$M$127,[10]A05!$O$127,[10]A05!$Q$127,[10]A05!$S$127,[10]A05!$U$127,[10]A05!$W$127,[10]A05!$Y$127)</f>
        <v>0</v>
      </c>
      <c r="BE6" s="618">
        <f>SUM([11]A05!$I$127,[11]A05!$K$127,[11]A05!$M$127,[11]A05!$O$127,[11]A05!$Q$127,[11]A05!$S$127,[11]A05!$U$127,[11]A05!$W$127,[11]A05!$Y$127)</f>
        <v>6</v>
      </c>
      <c r="BF6" s="618">
        <f>SUM([12]A05!$I$127,[12]A05!$K$127,[12]A05!$M$127,[12]A05!$O$127,[12]A05!$Q$127,[12]A05!$S$127,[12]A05!$U$127,[12]A05!$W$127,[12]A05!$Y$127)</f>
        <v>0</v>
      </c>
      <c r="BG6" s="618">
        <f>SUM([13]A05!$I$127,[13]A05!$K$127,[13]A05!$M$127,[13]A05!$O$127,[13]A05!$Q$127,[13]A05!$S$127,[13]A05!$U$127,[13]A05!$W$127,[13]A05!$Y$127)</f>
        <v>0</v>
      </c>
      <c r="BH6" s="799">
        <f>SUM(AV6:BG6)</f>
        <v>24</v>
      </c>
      <c r="BI6" s="254"/>
      <c r="BJ6" s="618">
        <f>[2]A05!$C$186</f>
        <v>53</v>
      </c>
      <c r="BK6" s="786">
        <f>[3]A05!$C$186</f>
        <v>66</v>
      </c>
      <c r="BL6" s="618">
        <f>[4]A05!$C$186</f>
        <v>73</v>
      </c>
      <c r="BM6" s="618">
        <f>[5]A05!$C$186</f>
        <v>87</v>
      </c>
      <c r="BN6" s="618">
        <f>[6]A05!$C$186</f>
        <v>88</v>
      </c>
      <c r="BO6" s="618">
        <f>[7]A05!$C$186</f>
        <v>79</v>
      </c>
      <c r="BP6" s="618">
        <f>[8]A05!$C$186</f>
        <v>77</v>
      </c>
      <c r="BQ6" s="618">
        <f>[9]A05!$C$186</f>
        <v>78</v>
      </c>
      <c r="BR6" s="618">
        <f>[10]A05!$C$186</f>
        <v>36</v>
      </c>
      <c r="BS6" s="618">
        <f>[11]A05!$C$186</f>
        <v>63</v>
      </c>
      <c r="BT6" s="618">
        <f>[12]A05!$C$186</f>
        <v>0</v>
      </c>
      <c r="BU6" s="618">
        <f>[13]A05!$C$186</f>
        <v>0</v>
      </c>
      <c r="BV6" s="799">
        <f>SUM(BJ6:BU6)</f>
        <v>700</v>
      </c>
      <c r="BW6" s="254"/>
      <c r="BX6" s="608">
        <f>SUM([2]A05!$C$234,[2]A05!$AN$241,[2]A05!$AO$241,[2]A05!$AP$241)</f>
        <v>46</v>
      </c>
      <c r="BY6" s="789">
        <f>SUM([3]A05!$C$234,[3]A05!$AN$241,[3]A05!$AO$241,[3]A05!$AP$241)</f>
        <v>23</v>
      </c>
      <c r="BZ6" s="608">
        <f>SUM([4]A05!$C$234,[4]A05!$AN$241,[4]A05!$AO$241,[4]A05!$AP$241)</f>
        <v>54</v>
      </c>
      <c r="CA6" s="608">
        <f>SUM([5]A05!$C$234,[5]A05!$AN$241,[5]A05!$AO$241,[5]A05!$AP$241)</f>
        <v>21</v>
      </c>
      <c r="CB6" s="608">
        <f>SUM([6]A05!$C$234,[6]A05!$AN$241,[6]A05!$AO$241,[6]A05!$AP$241)</f>
        <v>40</v>
      </c>
      <c r="CC6" s="608">
        <f>SUM([7]A05!$C$234,[7]A05!$AN$241,[7]A05!$AO$241,[7]A05!$AP$241)</f>
        <v>111</v>
      </c>
      <c r="CD6" s="608">
        <f>SUM([8]A05!$C$234,[8]A05!$AN$241,[8]A05!$AO$241,[8]A05!$AP$241)</f>
        <v>12</v>
      </c>
      <c r="CE6" s="608">
        <f>SUM([9]A05!$C$234,[9]A05!$AN$241,[9]A05!$AO$241,[9]A05!$AP$241)</f>
        <v>56</v>
      </c>
      <c r="CF6" s="608">
        <f>SUM([10]A05!$C$234,[10]A05!$AN$241,[10]A05!$AO$241,[10]A05!$AP$241)</f>
        <v>96</v>
      </c>
      <c r="CG6" s="608">
        <f>SUM([11]A05!$C$234,[11]A05!$AN$241,[11]A05!$AO$241,[11]A05!$AP$241)</f>
        <v>42</v>
      </c>
      <c r="CH6" s="608">
        <f>SUM([12]A05!$C$234,[12]A05!$AN$241,[12]A05!$AO$241,[12]A05!$AP$241)</f>
        <v>0</v>
      </c>
      <c r="CI6" s="608">
        <f>SUM([13]A05!$C$234,[13]A05!$AN$241,[13]A05!$AO$241,[13]A05!$AP$241)</f>
        <v>0</v>
      </c>
      <c r="CJ6" s="260">
        <f>SUM(BX6:CI6)</f>
        <v>501</v>
      </c>
      <c r="CK6" s="254"/>
      <c r="CL6" s="608">
        <f>SUM([2]A09!$G$12:$AB$12)</f>
        <v>173</v>
      </c>
      <c r="CM6" s="608">
        <f>SUM([3]A09!$G$12:$AB$12)</f>
        <v>173</v>
      </c>
      <c r="CN6" s="608">
        <f>SUM([4]A09!$G$12:$AB$12)</f>
        <v>168</v>
      </c>
      <c r="CO6" s="608">
        <f>SUM([5]A09!$G$12:$AB$12)</f>
        <v>178</v>
      </c>
      <c r="CP6" s="608">
        <f>SUM([6]A09!$G$12:$AB$12)</f>
        <v>138</v>
      </c>
      <c r="CQ6" s="608">
        <f>SUM([7]A09!$G$12:$AB$12)</f>
        <v>190</v>
      </c>
      <c r="CR6" s="608">
        <f>SUM([8]A09!$G$12:$AB$12)</f>
        <v>181</v>
      </c>
      <c r="CS6" s="608">
        <f>SUM([9]A09!$G$12:$AB$12)</f>
        <v>209</v>
      </c>
      <c r="CT6" s="608">
        <f>SUM([10]A09!$G$12:$AB$12)</f>
        <v>278</v>
      </c>
      <c r="CU6" s="608">
        <f>SUM([11]A09!$G$12:$AB$12)</f>
        <v>272</v>
      </c>
      <c r="CV6" s="608">
        <f>SUM([12]A09!$G$12:$AB$12)</f>
        <v>0</v>
      </c>
      <c r="CW6" s="608">
        <f>SUM([13]A09!$G$12:$AB$12)</f>
        <v>0</v>
      </c>
      <c r="CX6" s="260">
        <f>SUM(CL6:CW6)</f>
        <v>1960</v>
      </c>
      <c r="CY6" s="254"/>
      <c r="CZ6" s="608">
        <f>SUM([2]A09!$G$48:$L$48)</f>
        <v>21</v>
      </c>
      <c r="DA6" s="608">
        <f>SUM([3]A09!$G$48:$L$48)</f>
        <v>21</v>
      </c>
      <c r="DB6" s="608">
        <f>SUM([4]A09!$G$48:$L$48)</f>
        <v>27</v>
      </c>
      <c r="DC6" s="608">
        <f>SUM([5]A09!$G$48:$L$48)</f>
        <v>45</v>
      </c>
      <c r="DD6" s="608">
        <f>SUM([6]A09!$G$48:$L$48)</f>
        <v>16</v>
      </c>
      <c r="DE6" s="608">
        <f>SUM([7]A09!$G$48:$L$48)</f>
        <v>17</v>
      </c>
      <c r="DF6" s="608">
        <f>SUM([8]A09!$G$48:$L$48)</f>
        <v>45</v>
      </c>
      <c r="DG6" s="608">
        <f>SUM([9]A09!$G$48:$L$48)</f>
        <v>19</v>
      </c>
      <c r="DH6" s="608">
        <f>SUM([10]A09!$G$48:$L$48)</f>
        <v>28</v>
      </c>
      <c r="DI6" s="608">
        <f>SUM([11]A09!$G$48:$L$48)</f>
        <v>25</v>
      </c>
      <c r="DJ6" s="608">
        <f>SUM([12]A09!$G$48:$L$48)</f>
        <v>0</v>
      </c>
      <c r="DK6" s="608">
        <f>SUM([13]A09!$G$48:$L$48)</f>
        <v>0</v>
      </c>
      <c r="DL6" s="260">
        <f>SUM(CZ6:DK6)</f>
        <v>264</v>
      </c>
      <c r="DM6" s="285"/>
      <c r="DN6" s="434">
        <f>+EB6+EP6+FD6+FR6+GF6</f>
        <v>1032</v>
      </c>
      <c r="DO6" s="434">
        <f t="shared" ref="DN6:DU12" si="0">+EC6+EQ6+FE6+FS6+GG6</f>
        <v>893</v>
      </c>
      <c r="DP6" s="434">
        <f t="shared" si="0"/>
        <v>1040</v>
      </c>
      <c r="DQ6" s="434">
        <f t="shared" si="0"/>
        <v>972</v>
      </c>
      <c r="DR6" s="434">
        <f>+EF6+ET6+FH6+FV6+GJ6</f>
        <v>1028</v>
      </c>
      <c r="DS6" s="434">
        <f t="shared" si="0"/>
        <v>1094</v>
      </c>
      <c r="DT6" s="434">
        <f t="shared" si="0"/>
        <v>1086</v>
      </c>
      <c r="DU6" s="434">
        <f>+EI6+EW6+FK6+FY6+GM6</f>
        <v>1000</v>
      </c>
      <c r="DV6" s="434">
        <f>+EJ6+EX6+FL6+FZ6+GN6</f>
        <v>761</v>
      </c>
      <c r="DW6" s="434">
        <f t="shared" ref="DW6:DY12" si="1">+EK6+EY6+FM6+GA6+GO6</f>
        <v>1252</v>
      </c>
      <c r="DX6" s="434">
        <f t="shared" si="1"/>
        <v>0</v>
      </c>
      <c r="DY6" s="434">
        <f t="shared" si="1"/>
        <v>0</v>
      </c>
      <c r="DZ6" s="260">
        <f>SUM(DN6:DY6)</f>
        <v>10158</v>
      </c>
      <c r="EA6" s="254"/>
      <c r="EB6" s="620">
        <f>SUM([2]A06!$C$22:$C$23,[2]A06!$E$32)</f>
        <v>947</v>
      </c>
      <c r="EC6" s="620">
        <f>SUM([3]A06!$C$22:$C$23,[3]A06!$E$32)</f>
        <v>785</v>
      </c>
      <c r="ED6" s="620">
        <f>SUM([4]A06!$C$22:$C$23,[4]A06!$E$32)</f>
        <v>957</v>
      </c>
      <c r="EE6" s="620">
        <f>SUM([5]A06!$C$22:$C$23,[5]A06!$E$32)</f>
        <v>859</v>
      </c>
      <c r="EF6" s="620">
        <f>SUM([6]A06!$C$22:$C$23,[6]A06!$E$32)</f>
        <v>933</v>
      </c>
      <c r="EG6" s="620">
        <f>SUM([7]A06!$C$22:$C$23,[7]A06!$E$32)</f>
        <v>956</v>
      </c>
      <c r="EH6" s="620">
        <f>SUM([8]A06!$C$22:$C$23,[8]A06!$E$32)</f>
        <v>972</v>
      </c>
      <c r="EI6" s="620">
        <f>SUM([9]A06!$C$22:$C$23,[9]A06!$E$32)</f>
        <v>894</v>
      </c>
      <c r="EJ6" s="620">
        <f>SUM([10]A06!$C$22:$C$23,[10]A06!$E$32)</f>
        <v>675</v>
      </c>
      <c r="EK6" s="620">
        <f>SUM([11]A06!$C$22:$C$23,[11]A06!$E$32)</f>
        <v>1068</v>
      </c>
      <c r="EL6" s="620">
        <f>SUM([12]A06!$C$22:$C$23,[12]A06!$E$32)</f>
        <v>0</v>
      </c>
      <c r="EM6" s="620">
        <f>SUM([13]A06!$C$22:$C$23,[13]A06!$E$32)</f>
        <v>0</v>
      </c>
      <c r="EN6" s="260">
        <f>SUM(EB6:EM6)</f>
        <v>9046</v>
      </c>
      <c r="EP6" s="621">
        <f>SUM([2]A19a!$C$97,$C$99)</f>
        <v>19</v>
      </c>
      <c r="EQ6" s="621">
        <f>SUM([3]A19a!$C$97,$C$99)</f>
        <v>8</v>
      </c>
      <c r="ER6" s="621">
        <f>SUM([4]A19a!$C$97,$C$99)</f>
        <v>8</v>
      </c>
      <c r="ES6" s="621">
        <f>SUM([5]A19a!$C$97,$C$99)</f>
        <v>8</v>
      </c>
      <c r="ET6" s="621">
        <f>SUM([6]A19a!$C$97,$C$99)</f>
        <v>14</v>
      </c>
      <c r="EU6" s="621">
        <f>SUM([7]A19a!$C$97,$C$99)</f>
        <v>32</v>
      </c>
      <c r="EV6" s="621">
        <f>SUM([8]A19a!$C$97,$C$99)</f>
        <v>4</v>
      </c>
      <c r="EW6" s="621">
        <f>SUM([9]A19a!$C$97,$C$99)</f>
        <v>35</v>
      </c>
      <c r="EX6" s="621">
        <f>SUM([10]A19a!$C$97,$C$99)</f>
        <v>0</v>
      </c>
      <c r="EY6" s="621">
        <f>SUM([11]A19a!$C$97,$C$99)</f>
        <v>32</v>
      </c>
      <c r="EZ6" s="621">
        <f>SUM([12]A19a!$C$97,$C$99)</f>
        <v>0</v>
      </c>
      <c r="FA6" s="621">
        <f>SUM([13]A19a!$C$97,$C$99)</f>
        <v>0</v>
      </c>
      <c r="FB6" s="260">
        <f>SUM(EP6:FA6)</f>
        <v>160</v>
      </c>
      <c r="FD6" s="621">
        <f>SUM([2]A26!$C$30:$C$31,[2]A26!$C$38:$E$38)</f>
        <v>38</v>
      </c>
      <c r="FE6" s="621">
        <f>SUM([3]A26!$C$30:$C$31,[3]A26!$C$38:$E$38)</f>
        <v>63</v>
      </c>
      <c r="FF6" s="621">
        <f>SUM([4]A26!$C$30:$C$31,[4]A26!$C$38:$E$38)</f>
        <v>34</v>
      </c>
      <c r="FG6" s="621">
        <f>SUM([5]A26!$C$30:$C$31,[5]A26!$C$38:$E$38)</f>
        <v>35</v>
      </c>
      <c r="FH6" s="621">
        <f>SUM([6]A26!$C$30:$C$31,[6]A26!$C$38:$E$38)</f>
        <v>29</v>
      </c>
      <c r="FI6" s="621">
        <f>SUM([7]A26!$C$30:$C$31,[7]A26!$C$38:$E$38)</f>
        <v>25</v>
      </c>
      <c r="FJ6" s="621">
        <f>SUM([8]A26!$C$30:$C$31,[8]A26!$C$38:$E$38)</f>
        <v>45</v>
      </c>
      <c r="FK6" s="621">
        <f>SUM([9]A26!$C$30:$C$31,[9]A26!$C$38:$E$38)</f>
        <v>23</v>
      </c>
      <c r="FL6" s="621">
        <f>SUM([10]A26!$C$30:$C$31,[10]A26!$C$38:$E$38)</f>
        <v>34</v>
      </c>
      <c r="FM6" s="621">
        <f>SUM([11]A26!$C$30:$C$31,[11]A26!$C$38:$E$38)</f>
        <v>24</v>
      </c>
      <c r="FN6" s="621">
        <f>SUM([12]A26!$C$30:$C$31,[12]A26!$C$38:$E$38)</f>
        <v>0</v>
      </c>
      <c r="FO6" s="621">
        <f>SUM([13]A26!$C$30:$C$31,[13]A26!$C$38:$E$38)</f>
        <v>0</v>
      </c>
      <c r="FP6" s="260">
        <f>SUM(FD6:FO6)</f>
        <v>350</v>
      </c>
      <c r="FR6" s="621">
        <f>SUM([2]A32!$B$127:$B$129,[2]A32!$C$144,[2]A32!$C$155)</f>
        <v>0</v>
      </c>
      <c r="FS6" s="621">
        <f>SUM([3]A32!$B$127:$B$129,[3]A32!$C$144,[3]A32!$C$155)</f>
        <v>0</v>
      </c>
      <c r="FT6" s="621">
        <f>SUM([4]A32!$B$127:$B$129,[4]A32!$C$144,[4]A32!$C$155)</f>
        <v>0</v>
      </c>
      <c r="FU6" s="621">
        <f>SUM([5]A32!$B$127:$B$129,[5]A32!$C$144,[5]A32!$C$155)</f>
        <v>0</v>
      </c>
      <c r="FV6" s="621">
        <f>SUM([6]A32!$B$127:$B$129,[6]A32!$C$144,[6]A32!$C$155)</f>
        <v>0</v>
      </c>
      <c r="FW6" s="621">
        <f>SUM([7]A32!$B$127:$B$129,[7]A32!$C$144,[7]A32!$C$155)</f>
        <v>0</v>
      </c>
      <c r="FX6" s="621">
        <f>SUM([8]A32!$B$127:$B$129,[8]A32!$C$144,[8]A32!$C$155)</f>
        <v>0</v>
      </c>
      <c r="FY6" s="621">
        <f>SUM([9]A32!$B$127:$B$129,[9]A32!$C$144,[9]A32!$C$155)</f>
        <v>0</v>
      </c>
      <c r="FZ6" s="621">
        <f>SUM([10]A32!$B$127:$B$129,[10]A32!$C$144,[10]A32!$C$155)</f>
        <v>0</v>
      </c>
      <c r="GA6" s="621">
        <f>SUM([11]A32!$B$127:$B$129,[11]A32!$C$144,[11]A32!$C$155)</f>
        <v>0</v>
      </c>
      <c r="GB6" s="621">
        <f>SUM([12]A32!$B$127:$B$129,[12]A32!$C$144,[12]A32!$C$155)</f>
        <v>0</v>
      </c>
      <c r="GC6" s="621">
        <f>SUM([13]A32!$B$127:$B$129,[13]A32!$C$144,[13]A32!$C$155)</f>
        <v>0</v>
      </c>
      <c r="GD6" s="260">
        <f>SUM(FR6:GC6)</f>
        <v>0</v>
      </c>
      <c r="GF6" s="621">
        <f>SUM([2]A04!$B$24)</f>
        <v>28</v>
      </c>
      <c r="GG6" s="621">
        <f>SUM([3]A04!$B$24)</f>
        <v>37</v>
      </c>
      <c r="GH6" s="621">
        <f>SUM([4]A04!$B$24)</f>
        <v>41</v>
      </c>
      <c r="GI6" s="621">
        <f>SUM([5]A04!$B$24)</f>
        <v>70</v>
      </c>
      <c r="GJ6" s="621">
        <f>SUM([6]A04!$B$24)</f>
        <v>52</v>
      </c>
      <c r="GK6" s="621">
        <f>SUM([7]A04!$B$24)</f>
        <v>81</v>
      </c>
      <c r="GL6" s="621">
        <f>SUM([8]A04!$B$24)</f>
        <v>65</v>
      </c>
      <c r="GM6" s="621">
        <f>SUM([9]A04!$B$24)</f>
        <v>48</v>
      </c>
      <c r="GN6" s="621">
        <f>SUM([10]A04!$B$24)</f>
        <v>52</v>
      </c>
      <c r="GO6" s="621">
        <f>SUM([11]A04!$B$24)</f>
        <v>128</v>
      </c>
      <c r="GP6" s="621">
        <f>SUM([12]A04!$B$24)</f>
        <v>0</v>
      </c>
      <c r="GQ6" s="621">
        <f>SUM([13]A04!$B$24)</f>
        <v>0</v>
      </c>
      <c r="GR6" s="260">
        <f>SUM(GF6:GQ6)</f>
        <v>602</v>
      </c>
    </row>
    <row r="7" spans="2:200" x14ac:dyDescent="0.2">
      <c r="B7" s="148">
        <v>107308</v>
      </c>
      <c r="C7" s="149" t="s">
        <v>96</v>
      </c>
      <c r="D7" s="246"/>
      <c r="E7" s="618">
        <f>SUM([14]A05!$H$114,[14]A05!$J$114,[14]A05!$L$114,[14]A05!$N$114,[14]A05!$P$114,[14]A05!$R$114,[14]A05!$T$114,[14]A05!$V$114,[14]A05!$X$114)</f>
        <v>9</v>
      </c>
      <c r="F7" s="618">
        <f>SUM([15]A05!$H$114,[15]A05!$J$114,[15]A05!$L$114,[15]A05!$N$114,[15]A05!$P$114,[15]A05!$R$114,[15]A05!$T$114,[15]A05!$V$114,[15]A05!$X$114)</f>
        <v>2</v>
      </c>
      <c r="G7" s="618">
        <f>SUM([16]A05!$H$114,[16]A05!$J$114,[16]A05!$L$114,[16]A05!$N$114,[16]A05!$P$114,[16]A05!$R$114,[16]A05!$T$114,[16]A05!$V$114,[16]A05!$X$114)</f>
        <v>8</v>
      </c>
      <c r="H7" s="618">
        <f>SUM([17]A05!$H$114,[17]A05!$J$114,[17]A05!$L$114,[17]A05!$N$114,[17]A05!$P$114,[17]A05!$R$114,[17]A05!$T$114,[17]A05!$V$114,[17]A05!$X$114)</f>
        <v>11</v>
      </c>
      <c r="I7" s="618">
        <f>SUM([18]A05!$H$114,[18]A05!$J$114,[18]A05!$L$114,[18]A05!$N$114,[18]A05!$P$114,[18]A05!$R$114,[18]A05!$T$114,[18]A05!$V$114,[18]A05!$X$114)</f>
        <v>10</v>
      </c>
      <c r="J7" s="618">
        <f>SUM([19]A05!$H$114,[19]A05!$J$114,[19]A05!$L$114,[19]A05!$N$114,[19]A05!$P$114,[19]A05!$R$114,[19]A05!$T$114,[19]A05!$V$114,[19]A05!$X$114)</f>
        <v>12</v>
      </c>
      <c r="K7" s="618">
        <f>SUM([20]A05!$H$114,[20]A05!$J$114,[20]A05!$L$114,[20]A05!$N$114,[20]A05!$P$114,[20]A05!$R$114,[20]A05!$T$114,[20]A05!$V$114,[20]A05!$X$114)</f>
        <v>14</v>
      </c>
      <c r="L7" s="618">
        <f>SUM([21]A05!$H$114,[21]A05!$J$114,[21]A05!$L$114,[21]A05!$N$114,[21]A05!$P$114,[21]A05!$R$114,[21]A05!$T$114,[21]A05!$V$114,[21]A05!$X$114)</f>
        <v>14</v>
      </c>
      <c r="M7" s="618">
        <f>SUM([22]A05!$H$114,[22]A05!$J$114,[22]A05!$L$114,[22]A05!$N$114,[22]A05!$P$114,[22]A05!$R$114,[22]A05!$T$114,[22]A05!$V$114,[22]A05!$X$114)</f>
        <v>7</v>
      </c>
      <c r="N7" s="618">
        <f>SUM([23]A05!$H$114,[23]A05!$J$114,[23]A05!$L$114,[23]A05!$N$114,[23]A05!$P$114,[23]A05!$R$114,[23]A05!$T$114,[23]A05!$V$114,[23]A05!$X$114)</f>
        <v>1</v>
      </c>
      <c r="O7" s="618">
        <f>SUM([24]A05!$H$114,[24]A05!$J$114,[24]A05!$L$114,[24]A05!$N$114,[24]A05!$P$114,[24]A05!$R$114,[24]A05!$T$114,[24]A05!$V$114,[24]A05!$X$114)</f>
        <v>0</v>
      </c>
      <c r="P7" s="618">
        <f>SUM([25]A05!$H$114,[25]A05!$J$114,[25]A05!$L$114,[25]A05!$N$114,[25]A05!$P$114,[25]A05!$R$114,[25]A05!$T$114,[25]A05!$V$114,[25]A05!$X$114)</f>
        <v>0</v>
      </c>
      <c r="Q7" s="617">
        <f t="shared" ref="Q7:Q12" si="2">SUM(E7:P7)</f>
        <v>88</v>
      </c>
      <c r="R7" s="246"/>
      <c r="S7" s="618">
        <f>SUM([14]A05!$I$114,[14]A05!$K$114,[14]A05!$M$114,[14]A05!$O$114,[14]A05!$Q$114,[14]A05!$S$114,[14]A05!$U$114,[14]A05!$W$114,[14]A05!$Y$114)</f>
        <v>23</v>
      </c>
      <c r="T7" s="618">
        <f>SUM([15]A05!$I$114,[15]A05!$K$114,[15]A05!$M$114,[15]A05!$O$114,[15]A05!$Q$114,[15]A05!$S$114,[15]A05!$U$114,[15]A05!$W$114,[15]A05!$Y$114)</f>
        <v>9</v>
      </c>
      <c r="U7" s="618">
        <f>SUM([16]A05!$I$114,[16]A05!$K$114,[16]A05!$M$114,[16]A05!$O$114,[16]A05!$Q$114,[16]A05!$S$114,[16]A05!$U$114,[16]A05!$W$114,[16]A05!$Y$114)</f>
        <v>12</v>
      </c>
      <c r="V7" s="618">
        <f>SUM([17]A05!$I$114,[17]A05!$K$114,[17]A05!$M$114,[17]A05!$O$114,[17]A05!$Q$114,[17]A05!$S$114,[17]A05!$U$114,[17]A05!$W$114,[17]A05!$Y$114)</f>
        <v>29</v>
      </c>
      <c r="W7" s="618">
        <f>SUM([18]A05!$I$114,[18]A05!$K$114,[18]A05!$M$114,[18]A05!$O$114,[18]A05!$Q$114,[18]A05!$S$114,[18]A05!$U$114,[18]A05!$W$114,[18]A05!$Y$114)</f>
        <v>17</v>
      </c>
      <c r="X7" s="618">
        <f>SUM([19]A05!$I$114,[19]A05!$K$114,[19]A05!$M$114,[19]A05!$O$114,[19]A05!$Q$114,[19]A05!$S$114,[19]A05!$U$114,[19]A05!$W$114,[19]A05!$Y$114)</f>
        <v>26</v>
      </c>
      <c r="Y7" s="618">
        <f>SUM([20]A05!$I$114,[20]A05!$K$114,[20]A05!$M$114,[20]A05!$O$114,[20]A05!$Q$114,[20]A05!$S$114,[20]A05!$U$114,[20]A05!$W$114,[20]A05!$Y$114)</f>
        <v>24</v>
      </c>
      <c r="Z7" s="618">
        <f>SUM([21]A05!$I$114,[21]A05!$K$114,[21]A05!$M$114,[21]A05!$O$114,[21]A05!$Q$114,[21]A05!$S$114,[21]A05!$U$114,[21]A05!$W$114,[21]A05!$Y$114)</f>
        <v>14</v>
      </c>
      <c r="AA7" s="618">
        <f>SUM([22]A05!$I$114,[22]A05!$K$114,[22]A05!$M$114,[22]A05!$O$114,[22]A05!$Q$114,[22]A05!$S$114,[22]A05!$U$114,[22]A05!$W$114,[22]A05!$Y$114)</f>
        <v>10</v>
      </c>
      <c r="AB7" s="618">
        <f>SUM([23]A05!$I$114,[23]A05!$K$114,[23]A05!$M$114,[23]A05!$O$114,[23]A05!$Q$114,[23]A05!$S$114,[23]A05!$U$114,[23]A05!$W$114,[23]A05!$Y$114)</f>
        <v>12</v>
      </c>
      <c r="AC7" s="618">
        <f>SUM([24]A05!$I$114,[24]A05!$K$114,[24]A05!$M$114,[24]A05!$O$114,[24]A05!$Q$114,[24]A05!$S$114,[24]A05!$U$114,[24]A05!$W$114,[24]A05!$Y$114)</f>
        <v>0</v>
      </c>
      <c r="AD7" s="618">
        <f>SUM([25]A05!$I$114,[25]A05!$K$114,[25]A05!$M$114,[25]A05!$O$114,[25]A05!$Q$114,[25]A05!$S$114,[25]A05!$U$114,[25]A05!$W$114,[25]A05!$Y$114)</f>
        <v>0</v>
      </c>
      <c r="AE7" s="617">
        <f t="shared" ref="AE7:AE12" si="3">SUM(S7:AD7)</f>
        <v>176</v>
      </c>
      <c r="AF7" s="246"/>
      <c r="AG7" s="246"/>
      <c r="AH7" s="618">
        <f>SUM([14]A05!$H$127,[14]A05!$J$127,[14]A05!$L$127,[14]A05!$N$127,[14]A05!$P$127,[14]A05!$R$127,[14]A05!$T$127,[14]A05!$V$127,[14]A05!$X$127)</f>
        <v>2</v>
      </c>
      <c r="AI7" s="618">
        <f>SUM([15]A05!$H$127,[15]A05!$J$127,[15]A05!$L$127,[15]A05!$N$127,[15]A05!$P$127,[15]A05!$R$127,[15]A05!$T$127,[15]A05!$V$127,[15]A05!$X$127)</f>
        <v>0</v>
      </c>
      <c r="AJ7" s="618">
        <f>SUM([16]A05!$H$127,[16]A05!$J$127,[16]A05!$L$127,[16]A05!$N$127,[16]A05!$P$127,[16]A05!$R$127,[16]A05!$T$127,[16]A05!$V$127,[16]A05!$X$127)</f>
        <v>0</v>
      </c>
      <c r="AK7" s="618">
        <f>SUM([17]A05!$H$127,[17]A05!$J$127,[17]A05!$L$127,[17]A05!$N$127,[17]A05!$P$127,[17]A05!$R$127,[17]A05!$T$127,[17]A05!$V$127,[17]A05!$X$127)</f>
        <v>0</v>
      </c>
      <c r="AL7" s="618">
        <f>SUM([18]A05!$H$127,[18]A05!$J$127,[18]A05!$L$127,[18]A05!$N$127,[18]A05!$P$127,[18]A05!$R$127,[18]A05!$T$127,[18]A05!$V$127,[18]A05!$X$127)</f>
        <v>0</v>
      </c>
      <c r="AM7" s="618">
        <f>SUM([19]A05!$H$127,[19]A05!$J$127,[19]A05!$L$127,[19]A05!$N$127,[19]A05!$P$127,[19]A05!$R$127,[19]A05!$T$127,[19]A05!$V$127,[19]A05!$X$127)</f>
        <v>5</v>
      </c>
      <c r="AN7" s="618">
        <f>SUM([20]A05!$H$127,[20]A05!$J$127,[20]A05!$L$127,[20]A05!$N$127,[20]A05!$P$127,[20]A05!$R$127,[20]A05!$T$127,[20]A05!$V$127,[20]A05!$X$127)</f>
        <v>1</v>
      </c>
      <c r="AO7" s="618">
        <f>SUM([21]A05!$H$127,[21]A05!$J$127,[21]A05!$L$127,[21]A05!$N$127,[21]A05!$P$127,[21]A05!$R$127,[21]A05!$T$127,[21]A05!$V$127,[21]A05!$X$127)</f>
        <v>0</v>
      </c>
      <c r="AP7" s="618">
        <f>SUM([22]A05!$H$127,[22]A05!$J$127,[22]A05!$L$127,[22]A05!$N$127,[22]A05!$P$127,[22]A05!$R$127,[22]A05!$T$127,[22]A05!$V$127,[22]A05!$X$127)</f>
        <v>1</v>
      </c>
      <c r="AQ7" s="618">
        <f>SUM([23]A05!$H$127,[23]A05!$J$127,[23]A05!$L$127,[23]A05!$N$127,[23]A05!$P$127,[23]A05!$R$127,[23]A05!$T$127,[23]A05!$V$127,[23]A05!$X$127)</f>
        <v>10</v>
      </c>
      <c r="AR7" s="618">
        <f>SUM([24]A05!$H$127,[24]A05!$J$127,[24]A05!$L$127,[24]A05!$N$127,[24]A05!$P$127,[24]A05!$R$127,[24]A05!$T$127,[24]A05!$V$127,[24]A05!$X$127)</f>
        <v>0</v>
      </c>
      <c r="AS7" s="618">
        <f>SUM([25]A05!$H$127,[25]A05!$J$127,[25]A05!$L$127,[25]A05!$N$127,[25]A05!$P$127,[25]A05!$R$127,[25]A05!$T$127,[25]A05!$V$127,[25]A05!$X$127)</f>
        <v>0</v>
      </c>
      <c r="AT7" s="617">
        <f t="shared" ref="AT7:AT12" si="4">SUM(AH7:AS7)</f>
        <v>19</v>
      </c>
      <c r="AU7" s="254"/>
      <c r="AV7" s="618">
        <f>SUM([14]A05!$I$127,[14]A05!$K$127,[14]A05!$M$127,[14]A05!$O$127,[14]A05!$Q$127,[14]A05!$S$127,[14]A05!$U$127,[14]A05!$W$127,[14]A05!$Y$127)</f>
        <v>2</v>
      </c>
      <c r="AW7" s="618">
        <f>SUM([15]A05!$I$127,[15]A05!$K$127,[15]A05!$M$127,[15]A05!$O$127,[15]A05!$Q$127,[15]A05!$S$127,[15]A05!$U$127,[15]A05!$W$127,[15]A05!$Y$127)</f>
        <v>0</v>
      </c>
      <c r="AX7" s="618">
        <f>SUM([16]A05!$I$127,[16]A05!$K$127,[16]A05!$M$127,[16]A05!$O$127,[16]A05!$Q$127,[16]A05!$S$127,[16]A05!$U$127,[16]A05!$W$127,[16]A05!$Y$127)</f>
        <v>1</v>
      </c>
      <c r="AY7" s="618">
        <f>SUM([17]A05!$I$127,[17]A05!$K$127,[17]A05!$M$127,[17]A05!$O$127,[17]A05!$Q$127,[17]A05!$S$127,[17]A05!$U$127,[17]A05!$W$127,[17]A05!$Y$127)</f>
        <v>0</v>
      </c>
      <c r="AZ7" s="618">
        <f>SUM([18]A05!$I$127,[18]A05!$K$127,[18]A05!$M$127,[18]A05!$O$127,[18]A05!$Q$127,[18]A05!$S$127,[18]A05!$U$127,[18]A05!$W$127,[18]A05!$Y$127)</f>
        <v>2</v>
      </c>
      <c r="BA7" s="618">
        <f>SUM([19]A05!$I$127,[19]A05!$K$127,[19]A05!$M$127,[19]A05!$O$127,[19]A05!$Q$127,[19]A05!$S$127,[19]A05!$U$127,[19]A05!$W$127,[19]A05!$Y$127)</f>
        <v>8</v>
      </c>
      <c r="BB7" s="618">
        <f>SUM([20]A05!$I$127,[20]A05!$K$127,[20]A05!$M$127,[20]A05!$O$127,[20]A05!$Q$127,[20]A05!$S$127,[20]A05!$U$127,[20]A05!$W$127,[20]A05!$Y$127)</f>
        <v>2</v>
      </c>
      <c r="BC7" s="618">
        <f>SUM([21]A05!$I$127,[21]A05!$K$127,[21]A05!$M$127,[21]A05!$O$127,[21]A05!$Q$127,[21]A05!$S$127,[21]A05!$U$127,[21]A05!$W$127,[21]A05!$Y$127)</f>
        <v>0</v>
      </c>
      <c r="BD7" s="618">
        <f>SUM([22]A05!$I$127,[22]A05!$K$127,[22]A05!$M$127,[22]A05!$O$127,[22]A05!$Q$127,[22]A05!$S$127,[22]A05!$U$127,[22]A05!$W$127,[22]A05!$Y$127)</f>
        <v>2</v>
      </c>
      <c r="BE7" s="618">
        <f>SUM([23]A05!$I$127,[23]A05!$K$127,[23]A05!$M$127,[23]A05!$O$127,[23]A05!$Q$127,[23]A05!$S$127,[23]A05!$U$127,[23]A05!$W$127,[23]A05!$Y$127)</f>
        <v>10</v>
      </c>
      <c r="BF7" s="618">
        <f>SUM([24]A05!$I$127,[24]A05!$K$127,[24]A05!$M$127,[24]A05!$O$127,[24]A05!$Q$127,[24]A05!$S$127,[24]A05!$U$127,[24]A05!$W$127,[24]A05!$Y$127)</f>
        <v>0</v>
      </c>
      <c r="BG7" s="618">
        <f>SUM([25]A05!$I$127,[25]A05!$K$127,[25]A05!$M$127,[25]A05!$O$127,[25]A05!$Q$127,[25]A05!$S$127,[25]A05!$U$127,[25]A05!$W$127,[25]A05!$Y$127)</f>
        <v>0</v>
      </c>
      <c r="BH7" s="617">
        <f t="shared" ref="BH7:BH12" si="5">SUM(AV7:BG7)</f>
        <v>27</v>
      </c>
      <c r="BI7" s="254"/>
      <c r="BJ7" s="618">
        <f>[14]A05!$C$186</f>
        <v>66</v>
      </c>
      <c r="BK7" s="618">
        <f>[15]A05!$C$186</f>
        <v>47</v>
      </c>
      <c r="BL7" s="618">
        <f>[16]A05!$C$186</f>
        <v>83</v>
      </c>
      <c r="BM7" s="618">
        <f>[17]A05!$C$186</f>
        <v>58</v>
      </c>
      <c r="BN7" s="618">
        <f>[18]A05!$C$186</f>
        <v>93</v>
      </c>
      <c r="BO7" s="618">
        <f>[19]A05!$C$186</f>
        <v>75</v>
      </c>
      <c r="BP7" s="618">
        <f>[20]A05!$C$186</f>
        <v>73</v>
      </c>
      <c r="BQ7" s="618">
        <f>[21]A05!$C$186</f>
        <v>73</v>
      </c>
      <c r="BR7" s="618">
        <f>[22]A05!$C$186</f>
        <v>75</v>
      </c>
      <c r="BS7" s="618">
        <f>[23]A05!$C$186</f>
        <v>77</v>
      </c>
      <c r="BT7" s="618">
        <f>[24]A05!$C$186</f>
        <v>0</v>
      </c>
      <c r="BU7" s="618">
        <f>[25]A05!$C$186</f>
        <v>0</v>
      </c>
      <c r="BV7" s="617">
        <f t="shared" ref="BV7:BV12" si="6">SUM(BJ7:BU7)</f>
        <v>720</v>
      </c>
      <c r="BW7" s="254"/>
      <c r="BX7" s="608">
        <f>SUM([14]A05!$C$234,[14]A05!$AN$241,[14]A05!$AO$241,[14]A05!$AP$241)</f>
        <v>0</v>
      </c>
      <c r="BY7" s="608">
        <f>SUM([15]A05!$C$234,[15]A05!$AN$241,[15]A05!$AO$241,[15]A05!$AP$241)</f>
        <v>30</v>
      </c>
      <c r="BZ7" s="608">
        <f>SUM([16]A05!$C$234,[16]A05!$AN$241,[16]A05!$AO$241,[16]A05!$AP$241)</f>
        <v>69</v>
      </c>
      <c r="CA7" s="608">
        <f>SUM([17]A05!$C$234,[17]A05!$AN$241,[17]A05!$AO$241,[17]A05!$AP$241)</f>
        <v>76</v>
      </c>
      <c r="CB7" s="608">
        <f>SUM([18]A05!$C$234,[18]A05!$AN$241,[18]A05!$AO$241,[18]A05!$AP$241)</f>
        <v>121</v>
      </c>
      <c r="CC7" s="608">
        <f>SUM([19]A05!$C$234,[19]A05!$AN$241,[19]A05!$AO$241,[19]A05!$AP$241)</f>
        <v>62</v>
      </c>
      <c r="CD7" s="608">
        <f>SUM([20]A05!$C$234,[20]A05!$AN$241,[20]A05!$AO$241,[20]A05!$AP$241)</f>
        <v>42</v>
      </c>
      <c r="CE7" s="608">
        <f>SUM([21]A05!$C$234,[21]A05!$AN$241,[21]A05!$AO$241,[21]A05!$AP$241)</f>
        <v>53</v>
      </c>
      <c r="CF7" s="608">
        <f>SUM([22]A05!$C$234,[22]A05!$AN$241,[22]A05!$AO$241,[22]A05!$AP$241)</f>
        <v>56</v>
      </c>
      <c r="CG7" s="608">
        <f>SUM([23]A05!$C$234,[23]A05!$AN$241,[23]A05!$AO$241,[23]A05!$AP$241)</f>
        <v>97</v>
      </c>
      <c r="CH7" s="608">
        <f>SUM([24]A05!$C$234,[24]A05!$AN$241,[24]A05!$AO$241,[24]A05!$AP$241)</f>
        <v>0</v>
      </c>
      <c r="CI7" s="608">
        <f>SUM([25]A05!$C$234,[25]A05!$AN$241,[25]A05!$AO$241,[25]A05!$AP$241)</f>
        <v>0</v>
      </c>
      <c r="CJ7" s="260">
        <f t="shared" ref="CJ7:CJ12" si="7">SUM(BX7:CI7)</f>
        <v>606</v>
      </c>
      <c r="CK7" s="254"/>
      <c r="CL7" s="608">
        <f>SUM([14]A09!$G$12:$AB$12)</f>
        <v>132</v>
      </c>
      <c r="CM7" s="608">
        <f>SUM([15]A09!$G$12:$AB$12)</f>
        <v>79</v>
      </c>
      <c r="CN7" s="608">
        <f>SUM([16]A09!$G$12:$AB$12)</f>
        <v>124</v>
      </c>
      <c r="CO7" s="608">
        <f>SUM([17]A09!$G$12:$AB$12)</f>
        <v>129</v>
      </c>
      <c r="CP7" s="608">
        <f>SUM([18]A09!$G$12:$AB$12)</f>
        <v>131</v>
      </c>
      <c r="CQ7" s="608">
        <f>SUM([19]A09!$G$12:$AB$12)</f>
        <v>69</v>
      </c>
      <c r="CR7" s="608">
        <f>SUM([20]A09!$G$12:$AB$12)</f>
        <v>157</v>
      </c>
      <c r="CS7" s="608">
        <f>SUM([21]A09!$G$12:$AB$12)</f>
        <v>147</v>
      </c>
      <c r="CT7" s="608">
        <f>SUM([22]A09!$G$12:$AB$12)</f>
        <v>131</v>
      </c>
      <c r="CU7" s="608">
        <f>SUM([23]A09!$G$12:$AB$12)</f>
        <v>193</v>
      </c>
      <c r="CV7" s="608">
        <f>SUM([24]A09!$G$12:$AB$12)</f>
        <v>0</v>
      </c>
      <c r="CW7" s="608">
        <f>SUM([25]A09!$G$12:$AB$12)</f>
        <v>0</v>
      </c>
      <c r="CX7" s="260">
        <f t="shared" ref="CX7:CX12" si="8">SUM(CL7:CW7)</f>
        <v>1292</v>
      </c>
      <c r="CY7" s="254"/>
      <c r="CZ7" s="608">
        <f>SUM([14]A09!$G$48:$L$48)</f>
        <v>25</v>
      </c>
      <c r="DA7" s="608">
        <f>SUM([15]A09!$G$48:$L$48)</f>
        <v>14</v>
      </c>
      <c r="DB7" s="608">
        <f>SUM([16]A09!$G$48:$L$48)</f>
        <v>23</v>
      </c>
      <c r="DC7" s="608">
        <f>SUM([17]A09!$G$48:$L$48)</f>
        <v>18</v>
      </c>
      <c r="DD7" s="608">
        <f>SUM([18]A09!$G$48:$L$48)</f>
        <v>14</v>
      </c>
      <c r="DE7" s="608">
        <f>SUM([19]A09!$G$48:$L$48)</f>
        <v>18</v>
      </c>
      <c r="DF7" s="608">
        <f>SUM([20]A09!$G$48:$L$48)</f>
        <v>24</v>
      </c>
      <c r="DG7" s="608">
        <f>SUM([21]A09!$G$48:$L$48)</f>
        <v>25</v>
      </c>
      <c r="DH7" s="608">
        <f>SUM([22]A09!$G$48:$L$48)</f>
        <v>16</v>
      </c>
      <c r="DI7" s="608">
        <f>SUM([23]A09!$G$48:$L$48)</f>
        <v>26</v>
      </c>
      <c r="DJ7" s="608">
        <f>SUM([24]A09!$G$48:$L$48)</f>
        <v>0</v>
      </c>
      <c r="DK7" s="608">
        <f>SUM([25]A09!$G$48:$L$48)</f>
        <v>0</v>
      </c>
      <c r="DL7" s="260">
        <f t="shared" ref="DL7:DL12" si="9">SUM(CZ7:DK7)</f>
        <v>203</v>
      </c>
      <c r="DM7" s="285"/>
      <c r="DN7" s="434">
        <f>+EB7+EP7+FD7+FR7+GF7</f>
        <v>623</v>
      </c>
      <c r="DO7" s="434">
        <f t="shared" si="0"/>
        <v>534</v>
      </c>
      <c r="DP7" s="434">
        <f t="shared" si="0"/>
        <v>805</v>
      </c>
      <c r="DQ7" s="434">
        <f t="shared" si="0"/>
        <v>742</v>
      </c>
      <c r="DR7" s="434">
        <f t="shared" si="0"/>
        <v>904</v>
      </c>
      <c r="DS7" s="434">
        <f t="shared" si="0"/>
        <v>706</v>
      </c>
      <c r="DT7" s="434">
        <f t="shared" si="0"/>
        <v>973</v>
      </c>
      <c r="DU7" s="434">
        <f t="shared" si="0"/>
        <v>980</v>
      </c>
      <c r="DV7" s="434">
        <f t="shared" ref="DV7:DV12" si="10">+EJ7+EX7+FL7+FZ7+GN7</f>
        <v>750</v>
      </c>
      <c r="DW7" s="434">
        <f t="shared" ref="DW7:DW12" si="11">+EK7+EY7+FM7+GA7+GO7</f>
        <v>864</v>
      </c>
      <c r="DX7" s="434">
        <f t="shared" ref="DX7:DX12" si="12">+EL7+EZ7+FN7+GB7+GP7</f>
        <v>0</v>
      </c>
      <c r="DY7" s="434">
        <f t="shared" si="1"/>
        <v>0</v>
      </c>
      <c r="DZ7" s="260">
        <f t="shared" ref="DZ7:DZ12" si="13">SUM(DN7:DY7)</f>
        <v>7881</v>
      </c>
      <c r="EA7" s="254"/>
      <c r="EB7" s="620">
        <f>SUM([14]A06!$C$22:$C$23,[14]A06!$E$32)</f>
        <v>521</v>
      </c>
      <c r="EC7" s="620">
        <f>SUM([15]A06!$C$22:$C$23,[15]A06!$E$32)</f>
        <v>447</v>
      </c>
      <c r="ED7" s="620">
        <f>SUM([16]A06!$C$22:$C$23,[16]A06!$E$32)</f>
        <v>699</v>
      </c>
      <c r="EE7" s="620">
        <f>SUM([17]A06!$C$22:$C$23,[17]A06!$E$32)</f>
        <v>655</v>
      </c>
      <c r="EF7" s="620">
        <f>SUM([18]A06!$C$22:$C$23,[18]A06!$E$32)</f>
        <v>777</v>
      </c>
      <c r="EG7" s="620">
        <f>SUM([19]A06!$C$22:$C$23,[19]A06!$E$32)</f>
        <v>637</v>
      </c>
      <c r="EH7" s="620">
        <f>SUM([20]A06!$C$22:$C$23,[20]A06!$E$32)</f>
        <v>865</v>
      </c>
      <c r="EI7" s="620">
        <f>SUM([21]A06!$C$22:$C$23,[21]A06!$E$32)</f>
        <v>922</v>
      </c>
      <c r="EJ7" s="620">
        <f>SUM([22]A06!$C$22:$C$23,[22]A06!$E$32)</f>
        <v>690</v>
      </c>
      <c r="EK7" s="620">
        <f>SUM([23]A06!$C$22:$C$23,[23]A06!$E$32)</f>
        <v>797</v>
      </c>
      <c r="EL7" s="620">
        <f>SUM([24]A06!$C$22:$C$23,[24]A06!$E$32)</f>
        <v>0</v>
      </c>
      <c r="EM7" s="620">
        <f>SUM([25]A06!$C$22:$C$23,[25]A06!$E$32)</f>
        <v>0</v>
      </c>
      <c r="EN7" s="260">
        <f t="shared" ref="EN7:EN12" si="14">SUM(EB7:EM7)</f>
        <v>7010</v>
      </c>
      <c r="EP7" s="621">
        <f>SUM([14]A19a!$C$97,$C$99)</f>
        <v>0</v>
      </c>
      <c r="EQ7" s="621">
        <f>SUM([15]A19a!$C$97,$C$99)</f>
        <v>0</v>
      </c>
      <c r="ER7" s="621">
        <f>SUM([16]A19a!$C$97,$C$99)</f>
        <v>0</v>
      </c>
      <c r="ES7" s="621">
        <f>SUM([17]A19a!$C$97,$C$99)</f>
        <v>0</v>
      </c>
      <c r="ET7" s="621">
        <f>SUM([18]A19a!$C$97,$C$99)</f>
        <v>0</v>
      </c>
      <c r="EU7" s="621">
        <f>SUM([19]A19a!$C$97,$C$99)</f>
        <v>0</v>
      </c>
      <c r="EV7" s="621">
        <f>SUM([20]A19a!$C$97,$C$99)</f>
        <v>0</v>
      </c>
      <c r="EW7" s="621">
        <f>SUM([21]A19a!$C$97,$C$99)</f>
        <v>0</v>
      </c>
      <c r="EX7" s="621">
        <f>SUM([22]A19a!$C$97,$C$99)</f>
        <v>0</v>
      </c>
      <c r="EY7" s="621">
        <f>SUM([23]A19a!$C$97,$C$99)</f>
        <v>0</v>
      </c>
      <c r="EZ7" s="621">
        <f>SUM([24]A19a!$C$97,$C$99)</f>
        <v>0</v>
      </c>
      <c r="FA7" s="621">
        <f>SUM([25]A19a!$C$97,$C$99)</f>
        <v>0</v>
      </c>
      <c r="FB7" s="260">
        <f t="shared" ref="FB7:FB12" si="15">SUM(EP7:FA7)</f>
        <v>0</v>
      </c>
      <c r="FD7" s="621">
        <f>SUM([14]A26!$C$30:$C$31,[14]A26!$C$38:$E$38)</f>
        <v>7</v>
      </c>
      <c r="FE7" s="621">
        <f>SUM([15]A26!$C$30:$C$31,[15]A26!$C$38:$E$38)</f>
        <v>1</v>
      </c>
      <c r="FF7" s="621">
        <f>SUM([16]A26!$C$30:$C$31,[16]A26!$C$38:$E$38)</f>
        <v>4</v>
      </c>
      <c r="FG7" s="621">
        <f>SUM([17]A26!$C$30:$C$31,[17]A26!$C$38:$E$38)</f>
        <v>0</v>
      </c>
      <c r="FH7" s="621">
        <f>SUM([18]A26!$C$30:$C$31,[18]A26!$C$38:$E$38)</f>
        <v>4</v>
      </c>
      <c r="FI7" s="621">
        <f>SUM([19]A26!$C$30:$C$31,[19]A26!$C$38:$E$38)</f>
        <v>1</v>
      </c>
      <c r="FJ7" s="621">
        <f>SUM([20]A26!$C$30:$C$31,[20]A26!$C$38:$E$38)</f>
        <v>2</v>
      </c>
      <c r="FK7" s="621">
        <f>SUM([21]A26!$C$30:$C$31,[21]A26!$C$38:$E$38)</f>
        <v>5</v>
      </c>
      <c r="FL7" s="621">
        <f>SUM([22]A26!$C$30:$C$31,[22]A26!$C$38:$E$38)</f>
        <v>4</v>
      </c>
      <c r="FM7" s="621">
        <f>SUM([23]A26!$C$30:$C$31,[23]A26!$C$38:$E$38)</f>
        <v>2</v>
      </c>
      <c r="FN7" s="621">
        <f>SUM([24]A26!$C$30:$C$31,[24]A26!$C$38:$E$38)</f>
        <v>0</v>
      </c>
      <c r="FO7" s="621">
        <f>SUM([25]A26!$C$30:$C$31,[25]A26!$C$38:$E$38)</f>
        <v>0</v>
      </c>
      <c r="FP7" s="260">
        <f t="shared" ref="FP7:FP12" si="16">SUM(FD7:FO7)</f>
        <v>30</v>
      </c>
      <c r="FR7" s="621">
        <f>SUM([14]A32!$B$127:$B$129,[14]A32!$C$144,[14]A32!$C$155)</f>
        <v>0</v>
      </c>
      <c r="FS7" s="621">
        <f>SUM([15]A32!$B$127:$B$129,[15]A32!$C$144,[15]A32!$C$155)</f>
        <v>0</v>
      </c>
      <c r="FT7" s="621">
        <f>SUM([16]A32!$B$127:$B$129,[16]A32!$C$144,[16]A32!$C$155)</f>
        <v>1</v>
      </c>
      <c r="FU7" s="621">
        <f>SUM([17]A32!$B$127:$B$129,[17]A32!$C$144,[17]A32!$C$155)</f>
        <v>0</v>
      </c>
      <c r="FV7" s="621">
        <f>SUM([18]A32!$B$127:$B$129,[18]A32!$C$144,[18]A32!$C$155)</f>
        <v>45</v>
      </c>
      <c r="FW7" s="621">
        <f>SUM([19]A32!$B$127:$B$129,[19]A32!$C$144,[19]A32!$C$155)</f>
        <v>0</v>
      </c>
      <c r="FX7" s="621">
        <f>SUM([20]A32!$B$127:$B$129,[20]A32!$C$144,[20]A32!$C$155)</f>
        <v>30</v>
      </c>
      <c r="FY7" s="621">
        <f>SUM([21]A32!$B$127:$B$129,[21]A32!$C$144,[21]A32!$C$155)</f>
        <v>0</v>
      </c>
      <c r="FZ7" s="621">
        <f>SUM([22]A32!$B$127:$B$129,[22]A32!$C$144,[22]A32!$C$155)</f>
        <v>0</v>
      </c>
      <c r="GA7" s="621">
        <f>SUM([23]A32!$B$127:$B$129,[23]A32!$C$144,[23]A32!$C$155)</f>
        <v>0</v>
      </c>
      <c r="GB7" s="621">
        <f>SUM([24]A32!$B$127:$B$129,[24]A32!$C$144,[24]A32!$C$155)</f>
        <v>0</v>
      </c>
      <c r="GC7" s="621">
        <f>SUM([25]A32!$B$127:$B$129,[25]A32!$C$144,[25]A32!$C$155)</f>
        <v>0</v>
      </c>
      <c r="GD7" s="260">
        <f t="shared" ref="GD7:GD12" si="17">SUM(FR7:GC7)</f>
        <v>76</v>
      </c>
      <c r="GF7" s="621">
        <f>SUM([14]A04!$B$24)</f>
        <v>95</v>
      </c>
      <c r="GG7" s="621">
        <f>SUM([15]A04!$B$24)</f>
        <v>86</v>
      </c>
      <c r="GH7" s="621">
        <f>SUM([16]A04!$B$24)</f>
        <v>101</v>
      </c>
      <c r="GI7" s="621">
        <f>SUM([17]A04!$B$24)</f>
        <v>87</v>
      </c>
      <c r="GJ7" s="621">
        <f>SUM([18]A04!$B$24)</f>
        <v>78</v>
      </c>
      <c r="GK7" s="621">
        <f>SUM([19]A04!$B$24)</f>
        <v>68</v>
      </c>
      <c r="GL7" s="621">
        <f>SUM([20]A04!$B$24)</f>
        <v>76</v>
      </c>
      <c r="GM7" s="621">
        <f>SUM([21]A04!$B$24)</f>
        <v>53</v>
      </c>
      <c r="GN7" s="621">
        <f>SUM([22]A04!$B$24)</f>
        <v>56</v>
      </c>
      <c r="GO7" s="621">
        <f>SUM([23]A04!$B$24)</f>
        <v>65</v>
      </c>
      <c r="GP7" s="621">
        <f>SUM([24]A04!$B$24)</f>
        <v>0</v>
      </c>
      <c r="GQ7" s="621">
        <f>SUM([25]A04!$B$24)</f>
        <v>0</v>
      </c>
      <c r="GR7" s="260">
        <f t="shared" ref="GR7:GR12" si="18">SUM(GF7:GQ7)</f>
        <v>765</v>
      </c>
    </row>
    <row r="8" spans="2:200" x14ac:dyDescent="0.2">
      <c r="B8" s="148">
        <v>107353</v>
      </c>
      <c r="C8" s="149" t="s">
        <v>97</v>
      </c>
      <c r="D8" s="246"/>
      <c r="E8" s="786">
        <f>SUM([26]A05!$H$114,[26]A05!$J$114,[26]A05!$L$114,[26]A05!$N$114,[26]A05!$P$114,[26]A05!$R$114,[26]A05!$T$114,[26]A05!$V$114,[26]A05!$X$114)</f>
        <v>2</v>
      </c>
      <c r="F8" s="618">
        <f>SUM([27]A05!$H$114,[27]A05!$J$114,[27]A05!$L$114,[27]A05!$N$114,[27]A05!$P$114,[27]A05!$R$114,[27]A05!$T$114,[27]A05!$V$114,[27]A05!$X$114)</f>
        <v>4</v>
      </c>
      <c r="G8" s="618">
        <f>SUM([28]A05!$H$114,[28]A05!$J$114,[28]A05!$L$114,[28]A05!$N$114,[28]A05!$P$114,[28]A05!$R$114,[28]A05!$T$114,[28]A05!$V$114,[28]A05!$X$114)</f>
        <v>0</v>
      </c>
      <c r="H8" s="618">
        <f>SUM([29]A05!$H$114,[29]A05!$J$114,[29]A05!$L$114,[29]A05!$N$114,[29]A05!$P$114,[29]A05!$R$114,[29]A05!$T$114,[29]A05!$V$114,[29]A05!$X$114)</f>
        <v>5</v>
      </c>
      <c r="I8" s="618">
        <f>SUM([30]A05!$H$114,[30]A05!$J$114,[30]A05!$L$114,[30]A05!$N$114,[30]A05!$P$114,[30]A05!$R$114,[30]A05!$T$114,[30]A05!$V$114,[30]A05!$X$114)</f>
        <v>2</v>
      </c>
      <c r="J8" s="618">
        <f>SUM([31]A05!$H$114,[31]A05!$J$114,[31]A05!$L$114,[31]A05!$N$114,[31]A05!$P$114,[31]A05!$R$114,[31]A05!$T$114,[31]A05!$V$114,[31]A05!$X$114)</f>
        <v>12</v>
      </c>
      <c r="K8" s="618">
        <f>SUM([32]A05!$H$114,[32]A05!$J$114,[32]A05!$L$114,[32]A05!$N$114,[32]A05!$P$114,[32]A05!$R$114,[32]A05!$T$114,[32]A05!$V$114,[32]A05!$X$114)</f>
        <v>9</v>
      </c>
      <c r="L8" s="618">
        <f>SUM([33]A05!$H$114,[33]A05!$J$114,[33]A05!$L$114,[33]A05!$N$114,[33]A05!$P$114,[33]A05!$R$114,[33]A05!$T$114,[33]A05!$V$114,[33]A05!$X$114)</f>
        <v>11</v>
      </c>
      <c r="M8" s="618">
        <f>SUM([34]A05!$H$114,[34]A05!$J$114,[34]A05!$L$114,[34]A05!$N$114,[34]A05!$P$114,[34]A05!$R$114,[34]A05!$T$114,[34]A05!$V$114,[34]A05!$X$114)</f>
        <v>4</v>
      </c>
      <c r="N8" s="618">
        <f>SUM([35]A05!$H$114,[35]A05!$J$114,[35]A05!$L$114,[35]A05!$N$114,[35]A05!$P$114,[35]A05!$R$114,[35]A05!$T$114,[35]A05!$V$114,[35]A05!$X$114)</f>
        <v>12</v>
      </c>
      <c r="O8" s="618">
        <f>SUM([36]A05!$H$114,[36]A05!$J$114,[36]A05!$L$114,[36]A05!$N$114,[36]A05!$P$114,[36]A05!$R$114,[36]A05!$T$114,[36]A05!$V$114,[36]A05!$X$114)</f>
        <v>0</v>
      </c>
      <c r="P8" s="618">
        <f>SUM([37]A05!$H$114,[37]A05!$J$114,[37]A05!$L$114,[37]A05!$N$114,[37]A05!$P$114,[37]A05!$R$114,[37]A05!$T$114,[37]A05!$V$114,[37]A05!$X$114)</f>
        <v>0</v>
      </c>
      <c r="Q8" s="617">
        <f t="shared" si="2"/>
        <v>61</v>
      </c>
      <c r="R8" s="246"/>
      <c r="S8" s="786">
        <f>SUM([26]A05!$I$114,[26]A05!$K$114,[26]A05!$M$114,[26]A05!$O$114,[26]A05!$Q$114,[26]A05!$S$114,[26]A05!$U$114,[26]A05!$W$114,[26]A05!$Y$114)</f>
        <v>12</v>
      </c>
      <c r="T8" s="618">
        <f>SUM([27]A05!$I$114,[27]A05!$K$114,[27]A05!$M$114,[27]A05!$O$114,[27]A05!$Q$114,[27]A05!$S$114,[27]A05!$U$114,[27]A05!$W$114,[27]A05!$Y$114)</f>
        <v>7</v>
      </c>
      <c r="U8" s="618">
        <f>SUM([28]A05!$I$114,[28]A05!$K$114,[28]A05!$M$114,[28]A05!$O$114,[28]A05!$Q$114,[28]A05!$S$114,[28]A05!$U$114,[28]A05!$W$114,[28]A05!$Y$114)</f>
        <v>2</v>
      </c>
      <c r="V8" s="618">
        <f>SUM([29]A05!$I$114,[29]A05!$K$114,[29]A05!$M$114,[29]A05!$O$114,[29]A05!$Q$114,[29]A05!$S$114,[29]A05!$U$114,[29]A05!$W$114,[29]A05!$Y$114)</f>
        <v>4</v>
      </c>
      <c r="W8" s="618">
        <f>SUM([30]A05!$I$114,[30]A05!$K$114,[30]A05!$M$114,[30]A05!$O$114,[30]A05!$Q$114,[30]A05!$S$114,[30]A05!$U$114,[30]A05!$W$114,[30]A05!$Y$114)</f>
        <v>6</v>
      </c>
      <c r="X8" s="618">
        <f>SUM([31]A05!$I$114,[31]A05!$K$114,[31]A05!$M$114,[31]A05!$O$114,[31]A05!$Q$114,[31]A05!$S$114,[31]A05!$U$114,[31]A05!$W$114,[31]A05!$Y$114)</f>
        <v>17</v>
      </c>
      <c r="Y8" s="618">
        <f>SUM([32]A05!$I$114,[32]A05!$K$114,[32]A05!$M$114,[32]A05!$O$114,[32]A05!$Q$114,[32]A05!$S$114,[32]A05!$U$114,[32]A05!$W$114,[32]A05!$Y$114)</f>
        <v>21</v>
      </c>
      <c r="Z8" s="618">
        <f>SUM([33]A05!$I$114,[33]A05!$K$114,[33]A05!$M$114,[33]A05!$O$114,[33]A05!$Q$114,[33]A05!$S$114,[33]A05!$U$114,[33]A05!$W$114,[33]A05!$Y$114)</f>
        <v>9</v>
      </c>
      <c r="AA8" s="618">
        <f>SUM([34]A05!$I$114,[34]A05!$K$114,[34]A05!$M$114,[34]A05!$O$114,[34]A05!$Q$114,[34]A05!$S$114,[34]A05!$U$114,[34]A05!$W$114,[34]A05!$Y$114)</f>
        <v>12</v>
      </c>
      <c r="AB8" s="618">
        <f>SUM([35]A05!$I$114,[35]A05!$K$114,[35]A05!$M$114,[35]A05!$O$114,[35]A05!$Q$114,[35]A05!$S$114,[35]A05!$U$114,[35]A05!$W$114,[35]A05!$Y$114)</f>
        <v>15</v>
      </c>
      <c r="AC8" s="618">
        <f>SUM([36]A05!$I$114,[36]A05!$K$114,[36]A05!$M$114,[36]A05!$O$114,[36]A05!$Q$114,[36]A05!$S$114,[36]A05!$U$114,[36]A05!$W$114,[36]A05!$Y$114)</f>
        <v>0</v>
      </c>
      <c r="AD8" s="618">
        <f>SUM([37]A05!$I$114,[37]A05!$K$114,[37]A05!$M$114,[37]A05!$O$114,[37]A05!$Q$114,[37]A05!$S$114,[37]A05!$U$114,[37]A05!$W$114,[37]A05!$Y$114)</f>
        <v>0</v>
      </c>
      <c r="AE8" s="617">
        <f t="shared" si="3"/>
        <v>105</v>
      </c>
      <c r="AF8" s="246"/>
      <c r="AG8" s="246"/>
      <c r="AH8" s="786">
        <f>SUM([26]A05!$H$127,[26]A05!$J$127,[26]A05!$L$127,[26]A05!$N$127,[26]A05!$P$127,[26]A05!$R$127,[26]A05!$T$127,[26]A05!$V$127,[26]A05!$X$127)</f>
        <v>3</v>
      </c>
      <c r="AI8" s="618">
        <f>SUM([27]A05!$H$127,[27]A05!$J$127,[27]A05!$L$127,[27]A05!$N$127,[27]A05!$P$127,[27]A05!$R$127,[27]A05!$T$127,[27]A05!$V$127,[27]A05!$X$127)</f>
        <v>0</v>
      </c>
      <c r="AJ8" s="618">
        <f>SUM([28]A05!$H$127,[28]A05!$J$127,[28]A05!$L$127,[28]A05!$N$127,[28]A05!$P$127,[28]A05!$R$127,[28]A05!$T$127,[28]A05!$V$127,[28]A05!$X$127)</f>
        <v>0</v>
      </c>
      <c r="AK8" s="618">
        <f>SUM([29]A05!$H$127,[29]A05!$J$127,[29]A05!$L$127,[29]A05!$N$127,[29]A05!$P$127,[29]A05!$R$127,[29]A05!$T$127,[29]A05!$V$127,[29]A05!$X$127)</f>
        <v>0</v>
      </c>
      <c r="AL8" s="618">
        <f>SUM([30]A05!$H$127,[30]A05!$J$127,[30]A05!$L$127,[30]A05!$N$127,[30]A05!$P$127,[30]A05!$R$127,[30]A05!$T$127,[30]A05!$V$127,[30]A05!$X$127)</f>
        <v>1</v>
      </c>
      <c r="AM8" s="618">
        <f>SUM([31]A05!$H$127,[31]A05!$J$127,[31]A05!$L$127,[31]A05!$N$127,[31]A05!$P$127,[31]A05!$R$127,[31]A05!$T$127,[31]A05!$V$127,[31]A05!$X$127)</f>
        <v>0</v>
      </c>
      <c r="AN8" s="618">
        <f>SUM([32]A05!$H$127,[32]A05!$J$127,[32]A05!$L$127,[32]A05!$N$127,[32]A05!$P$127,[32]A05!$R$127,[32]A05!$T$127,[32]A05!$V$127,[32]A05!$X$127)</f>
        <v>1</v>
      </c>
      <c r="AO8" s="618">
        <f>SUM([33]A05!$H$127,[33]A05!$J$127,[33]A05!$L$127,[33]A05!$N$127,[33]A05!$P$127,[33]A05!$R$127,[33]A05!$T$127,[33]A05!$V$127,[33]A05!$X$127)</f>
        <v>1</v>
      </c>
      <c r="AP8" s="618">
        <f>SUM([34]A05!$H$127,[34]A05!$J$127,[34]A05!$L$127,[34]A05!$N$127,[34]A05!$P$127,[34]A05!$R$127,[34]A05!$T$127,[34]A05!$V$127,[34]A05!$X$127)</f>
        <v>1</v>
      </c>
      <c r="AQ8" s="618">
        <f>SUM([35]A05!$H$127,[35]A05!$J$127,[35]A05!$L$127,[35]A05!$N$127,[35]A05!$P$127,[35]A05!$R$127,[35]A05!$T$127,[35]A05!$V$127,[35]A05!$X$127)</f>
        <v>0</v>
      </c>
      <c r="AR8" s="618">
        <f>SUM([36]A05!$H$127,[36]A05!$J$127,[36]A05!$L$127,[36]A05!$N$127,[36]A05!$P$127,[36]A05!$R$127,[36]A05!$T$127,[36]A05!$V$127,[36]A05!$X$127)</f>
        <v>0</v>
      </c>
      <c r="AS8" s="618">
        <f>SUM([37]A05!$H$127,[37]A05!$J$127,[37]A05!$L$127,[37]A05!$N$127,[37]A05!$P$127,[37]A05!$R$127,[37]A05!$T$127,[37]A05!$V$127,[37]A05!$X$127)</f>
        <v>0</v>
      </c>
      <c r="AT8" s="617">
        <f t="shared" si="4"/>
        <v>7</v>
      </c>
      <c r="AU8" s="254"/>
      <c r="AV8" s="786">
        <f>SUM([26]A05!$I$127,[26]A05!$K$127,[26]A05!$M$127,[26]A05!$O$127,[26]A05!$Q$127,[26]A05!$S$127,[26]A05!$U$127,[26]A05!$W$127,[26]A05!$Y$127)</f>
        <v>3</v>
      </c>
      <c r="AW8" s="618">
        <f>SUM([27]A05!$I$127,[27]A05!$K$127,[27]A05!$M$127,[27]A05!$O$127,[27]A05!$Q$127,[27]A05!$S$127,[27]A05!$U$127,[27]A05!$W$127,[27]A05!$Y$127)</f>
        <v>0</v>
      </c>
      <c r="AX8" s="618">
        <f>SUM([28]A05!$I$127,[28]A05!$K$127,[28]A05!$M$127,[28]A05!$O$127,[28]A05!$Q$127,[28]A05!$S$127,[28]A05!$U$127,[28]A05!$W$127,[28]A05!$Y$127)</f>
        <v>0</v>
      </c>
      <c r="AY8" s="618">
        <f>SUM([29]A05!$I$127,[29]A05!$K$127,[29]A05!$M$127,[29]A05!$O$127,[29]A05!$Q$127,[29]A05!$S$127,[29]A05!$U$127,[29]A05!$W$127,[29]A05!$Y$127)</f>
        <v>0</v>
      </c>
      <c r="AZ8" s="618">
        <f>SUM([30]A05!$I$127,[30]A05!$K$127,[30]A05!$M$127,[30]A05!$O$127,[30]A05!$Q$127,[30]A05!$S$127,[30]A05!$U$127,[30]A05!$W$127,[30]A05!$Y$127)</f>
        <v>3</v>
      </c>
      <c r="BA8" s="618">
        <f>SUM([31]A05!$I$127,[31]A05!$K$127,[31]A05!$M$127,[31]A05!$O$127,[31]A05!$Q$127,[31]A05!$S$127,[31]A05!$U$127,[31]A05!$W$127,[31]A05!$Y$127)</f>
        <v>1</v>
      </c>
      <c r="BB8" s="618">
        <f>SUM([32]A05!$I$127,[32]A05!$K$127,[32]A05!$M$127,[32]A05!$O$127,[32]A05!$Q$127,[32]A05!$S$127,[32]A05!$U$127,[32]A05!$W$127,[32]A05!$Y$127)</f>
        <v>1</v>
      </c>
      <c r="BC8" s="618">
        <f>SUM([33]A05!$I$127,[33]A05!$K$127,[33]A05!$M$127,[33]A05!$O$127,[33]A05!$Q$127,[33]A05!$S$127,[33]A05!$U$127,[33]A05!$W$127,[33]A05!$Y$127)</f>
        <v>3</v>
      </c>
      <c r="BD8" s="618">
        <f>SUM([34]A05!$I$127,[34]A05!$K$127,[34]A05!$M$127,[34]A05!$O$127,[34]A05!$Q$127,[34]A05!$S$127,[34]A05!$U$127,[34]A05!$W$127,[34]A05!$Y$127)</f>
        <v>0</v>
      </c>
      <c r="BE8" s="618">
        <f>SUM([35]A05!$I$127,[35]A05!$K$127,[35]A05!$M$127,[35]A05!$O$127,[35]A05!$Q$127,[35]A05!$S$127,[35]A05!$U$127,[35]A05!$W$127,[35]A05!$Y$127)</f>
        <v>0</v>
      </c>
      <c r="BF8" s="618">
        <f>SUM([36]A05!$I$127,[36]A05!$K$127,[36]A05!$M$127,[36]A05!$O$127,[36]A05!$Q$127,[36]A05!$S$127,[36]A05!$U$127,[36]A05!$W$127,[36]A05!$Y$127)</f>
        <v>0</v>
      </c>
      <c r="BG8" s="618">
        <f>SUM([37]A05!$I$127,[37]A05!$K$127,[37]A05!$M$127,[37]A05!$O$127,[37]A05!$Q$127,[37]A05!$S$127,[37]A05!$U$127,[37]A05!$W$127,[37]A05!$Y$127)</f>
        <v>0</v>
      </c>
      <c r="BH8" s="799">
        <f t="shared" si="5"/>
        <v>11</v>
      </c>
      <c r="BI8" s="254"/>
      <c r="BJ8" s="618">
        <f>[26]A05!$C$186</f>
        <v>126</v>
      </c>
      <c r="BK8" s="618">
        <f>[27]A05!$C$186</f>
        <v>53</v>
      </c>
      <c r="BL8" s="618">
        <f>[28]A05!$C$186</f>
        <v>106</v>
      </c>
      <c r="BM8" s="618">
        <f>[29]A05!$C$186</f>
        <v>74</v>
      </c>
      <c r="BN8" s="618">
        <f>[30]A05!$C$186</f>
        <v>77</v>
      </c>
      <c r="BO8" s="618">
        <f>[31]A05!$C$186</f>
        <v>79</v>
      </c>
      <c r="BP8" s="618">
        <f>[32]A05!$C$186</f>
        <v>91</v>
      </c>
      <c r="BQ8" s="618">
        <f>[33]A05!$C$186</f>
        <v>80</v>
      </c>
      <c r="BR8" s="618">
        <f>[34]A05!$C$186</f>
        <v>88</v>
      </c>
      <c r="BS8" s="618">
        <f>[35]A05!$C$186</f>
        <v>117</v>
      </c>
      <c r="BT8" s="618">
        <f>[36]A05!$C$186</f>
        <v>0</v>
      </c>
      <c r="BU8" s="618">
        <f>[37]A05!$C$186</f>
        <v>0</v>
      </c>
      <c r="BV8" s="617">
        <f t="shared" si="6"/>
        <v>891</v>
      </c>
      <c r="BW8" s="254"/>
      <c r="BX8" s="608">
        <f>SUM([26]A05!$C$234,[26]A05!$AN$241,[26]A05!$AO$241,[26]A05!$AP$241)</f>
        <v>60</v>
      </c>
      <c r="BY8" s="608">
        <f>SUM([27]A05!$C$234,[27]A05!$AN$241,[27]A05!$AO$241,[27]A05!$AP$241)</f>
        <v>12</v>
      </c>
      <c r="BZ8" s="608">
        <f>SUM([28]A05!$C$234,[28]A05!$AN$241,[28]A05!$AO$241,[28]A05!$AP$241)</f>
        <v>112</v>
      </c>
      <c r="CA8" s="608">
        <f>SUM([29]A05!$C$234,[29]A05!$AN$241,[29]A05!$AO$241,[29]A05!$AP$241)</f>
        <v>67</v>
      </c>
      <c r="CB8" s="608">
        <f>SUM([30]A05!$C$234,[30]A05!$AN$241,[30]A05!$AO$241,[30]A05!$AP$241)</f>
        <v>12</v>
      </c>
      <c r="CC8" s="608">
        <f>SUM([31]A05!$C$234,[31]A05!$AN$241,[31]A05!$AO$241,[31]A05!$AP$241)</f>
        <v>98</v>
      </c>
      <c r="CD8" s="608">
        <f>SUM([32]A05!$C$234,[32]A05!$AN$241,[32]A05!$AO$241,[32]A05!$AP$241)</f>
        <v>9</v>
      </c>
      <c r="CE8" s="608">
        <f>SUM([33]A05!$C$234,[33]A05!$AN$241,[33]A05!$AO$241,[33]A05!$AP$241)</f>
        <v>79</v>
      </c>
      <c r="CF8" s="608">
        <f>SUM([34]A05!$C$234,[34]A05!$AN$241,[34]A05!$AO$241,[34]A05!$AP$241)</f>
        <v>193</v>
      </c>
      <c r="CG8" s="608">
        <f>SUM([35]A05!$C$234,[35]A05!$AN$241,[35]A05!$AO$241,[35]A05!$AP$241)</f>
        <v>18</v>
      </c>
      <c r="CH8" s="608">
        <f>SUM([36]A05!$C$234,[36]A05!$AN$241,[36]A05!$AO$241,[36]A05!$AP$241)</f>
        <v>0</v>
      </c>
      <c r="CI8" s="608">
        <f>SUM([37]A05!$C$234,[37]A05!$AN$241,[37]A05!$AO$241,[37]A05!$AP$241)</f>
        <v>0</v>
      </c>
      <c r="CJ8" s="260">
        <f t="shared" si="7"/>
        <v>660</v>
      </c>
      <c r="CK8" s="254"/>
      <c r="CL8" s="608">
        <f>SUM([26]A09!$G$12:$AB$12)</f>
        <v>115</v>
      </c>
      <c r="CM8" s="608">
        <f>SUM([27]A09!$G$12:$AB$12)</f>
        <v>75</v>
      </c>
      <c r="CN8" s="608">
        <f>SUM([28]A09!$G$12:$AB$12)</f>
        <v>114</v>
      </c>
      <c r="CO8" s="608">
        <f>SUM([29]A09!$G$12:$AB$12)</f>
        <v>95</v>
      </c>
      <c r="CP8" s="608">
        <f>SUM([30]A09!$G$12:$AB$12)</f>
        <v>144</v>
      </c>
      <c r="CQ8" s="608">
        <f>SUM([31]A09!$G$12:$AB$12)</f>
        <v>156</v>
      </c>
      <c r="CR8" s="608">
        <f>SUM([32]A09!$G$12:$AB$12)</f>
        <v>141</v>
      </c>
      <c r="CS8" s="608">
        <f>SUM([33]A09!$G$12:$AB$12)</f>
        <v>145</v>
      </c>
      <c r="CT8" s="608">
        <f>SUM([34]A09!$G$12:$AB$12)</f>
        <v>148</v>
      </c>
      <c r="CU8" s="608">
        <f>SUM([35]A09!$G$12:$AB$12)</f>
        <v>187</v>
      </c>
      <c r="CV8" s="608">
        <f>SUM([36]A09!$G$12:$AB$12)</f>
        <v>0</v>
      </c>
      <c r="CW8" s="608">
        <f>SUM([37]A09!$G$12:$AB$12)</f>
        <v>0</v>
      </c>
      <c r="CX8" s="260">
        <f t="shared" si="8"/>
        <v>1320</v>
      </c>
      <c r="CY8" s="254"/>
      <c r="CZ8" s="608">
        <f>SUM([26]A09!$G$48:$L$48)</f>
        <v>26</v>
      </c>
      <c r="DA8" s="608">
        <f>SUM([27]A09!$G$48:$L$48)</f>
        <v>22</v>
      </c>
      <c r="DB8" s="608">
        <f>SUM([28]A09!$G$48:$L$48)</f>
        <v>38</v>
      </c>
      <c r="DC8" s="608">
        <f>SUM([29]A09!$G$48:$L$48)</f>
        <v>29</v>
      </c>
      <c r="DD8" s="608">
        <f>SUM([30]A09!$G$48:$L$48)</f>
        <v>30</v>
      </c>
      <c r="DE8" s="608">
        <f>SUM([31]A09!$G$48:$L$48)</f>
        <v>22</v>
      </c>
      <c r="DF8" s="608">
        <f>SUM([32]A09!$G$48:$L$48)</f>
        <v>14</v>
      </c>
      <c r="DG8" s="608">
        <f>SUM([33]A09!$G$48:$L$48)</f>
        <v>15</v>
      </c>
      <c r="DH8" s="608">
        <f>SUM([34]A09!$G$48:$L$48)</f>
        <v>16</v>
      </c>
      <c r="DI8" s="608">
        <f>SUM([35]A09!$G$48:$L$48)</f>
        <v>22</v>
      </c>
      <c r="DJ8" s="608">
        <f>SUM([36]A09!$G$48:$L$48)</f>
        <v>0</v>
      </c>
      <c r="DK8" s="608">
        <f>SUM([37]A09!$G$48:$L$48)</f>
        <v>0</v>
      </c>
      <c r="DL8" s="260">
        <f t="shared" si="9"/>
        <v>234</v>
      </c>
      <c r="DM8" s="285"/>
      <c r="DN8" s="798">
        <f t="shared" si="0"/>
        <v>583</v>
      </c>
      <c r="DO8" s="434">
        <f t="shared" si="0"/>
        <v>305</v>
      </c>
      <c r="DP8" s="434">
        <f t="shared" si="0"/>
        <v>474</v>
      </c>
      <c r="DQ8" s="434">
        <f t="shared" si="0"/>
        <v>466</v>
      </c>
      <c r="DR8" s="434">
        <f t="shared" si="0"/>
        <v>449</v>
      </c>
      <c r="DS8" s="434">
        <f t="shared" si="0"/>
        <v>413</v>
      </c>
      <c r="DT8" s="434">
        <f t="shared" si="0"/>
        <v>628</v>
      </c>
      <c r="DU8" s="434">
        <f>+EI8+EW8+FK8+FY8+GM8</f>
        <v>525</v>
      </c>
      <c r="DV8" s="434">
        <f t="shared" si="10"/>
        <v>465</v>
      </c>
      <c r="DW8" s="434">
        <f t="shared" si="11"/>
        <v>603</v>
      </c>
      <c r="DX8" s="434">
        <f t="shared" si="12"/>
        <v>0</v>
      </c>
      <c r="DY8" s="434">
        <f t="shared" si="1"/>
        <v>0</v>
      </c>
      <c r="DZ8" s="260">
        <f t="shared" si="13"/>
        <v>4911</v>
      </c>
      <c r="EA8" s="254"/>
      <c r="EB8" s="620">
        <f>SUM([26]A06!$C$22:$C$23,[26]A06!$E$32)</f>
        <v>516</v>
      </c>
      <c r="EC8" s="620">
        <f>SUM([27]A06!$C$22:$C$23,[27]A06!$E$32)</f>
        <v>261</v>
      </c>
      <c r="ED8" s="620">
        <f>SUM([28]A06!$C$22:$C$23,[28]A06!$E$32)</f>
        <v>407</v>
      </c>
      <c r="EE8" s="620">
        <f>SUM([29]A06!$C$22:$C$23,[29]A06!$E$32)</f>
        <v>370</v>
      </c>
      <c r="EF8" s="620">
        <f>SUM([30]A06!$C$22:$C$23,[30]A06!$E$32)</f>
        <v>365</v>
      </c>
      <c r="EG8" s="620">
        <f>SUM([31]A06!$C$22:$C$23,[31]A06!$E$32)</f>
        <v>320</v>
      </c>
      <c r="EH8" s="620">
        <f>SUM([32]A06!$C$22:$C$23,[32]A06!$E$32)</f>
        <v>499</v>
      </c>
      <c r="EI8" s="620">
        <f>SUM([33]A06!$C$22:$C$23,[33]A06!$E$32)</f>
        <v>412</v>
      </c>
      <c r="EJ8" s="620">
        <f>SUM([34]A06!$C$22:$C$23,[34]A06!$E$32)</f>
        <v>405</v>
      </c>
      <c r="EK8" s="620">
        <f>SUM([35]A06!$C$22:$C$23,[35]A06!$E$32)</f>
        <v>500</v>
      </c>
      <c r="EL8" s="620">
        <f>SUM([36]A06!$C$22:$C$23,[36]A06!$E$32)</f>
        <v>0</v>
      </c>
      <c r="EM8" s="620">
        <f>SUM([37]A06!$C$22:$C$23,[37]A06!$E$32)</f>
        <v>0</v>
      </c>
      <c r="EN8" s="260">
        <f t="shared" si="14"/>
        <v>4055</v>
      </c>
      <c r="EP8" s="621">
        <f>SUM([26]A19a!$C$97,$C$99)</f>
        <v>0</v>
      </c>
      <c r="EQ8" s="621">
        <f>SUM([27]A19a!$C$97,$C$99)</f>
        <v>0</v>
      </c>
      <c r="ER8" s="621">
        <f>SUM([28]A19a!$C$97,$C$99)</f>
        <v>0</v>
      </c>
      <c r="ES8" s="621">
        <f>SUM([29]A19a!$C$97,$C$99)</f>
        <v>0</v>
      </c>
      <c r="ET8" s="621">
        <f>SUM([30]A19a!$C$97,$C$99)</f>
        <v>0</v>
      </c>
      <c r="EU8" s="621">
        <f>SUM([31]A19a!$C$97,$C$99)</f>
        <v>0</v>
      </c>
      <c r="EV8" s="621">
        <f>SUM([32]A19a!$C$97,$C$99)</f>
        <v>0</v>
      </c>
      <c r="EW8" s="621">
        <f>SUM([33]A19a!$C$97,$C$99)</f>
        <v>0</v>
      </c>
      <c r="EX8" s="621">
        <f>SUM([34]A19a!$C$97,$C$99)</f>
        <v>0</v>
      </c>
      <c r="EY8" s="621">
        <f>SUM([35]A19a!$C$97,$C$99)</f>
        <v>0</v>
      </c>
      <c r="EZ8" s="621">
        <f>SUM([36]A19a!$C$97,$C$99)</f>
        <v>0</v>
      </c>
      <c r="FA8" s="621">
        <f>SUM([37]A19a!$C$97,$C$99)</f>
        <v>0</v>
      </c>
      <c r="FB8" s="260">
        <f t="shared" si="15"/>
        <v>0</v>
      </c>
      <c r="FD8" s="797">
        <f>SUM([26]A26!$C$30:$C$31,[26]A26!$C$38:$E$38)</f>
        <v>6</v>
      </c>
      <c r="FE8" s="621">
        <f>SUM([27]A26!$C$30:$C$31,[27]A26!$C$38:$E$38)</f>
        <v>4</v>
      </c>
      <c r="FF8" s="621">
        <f>SUM([28]A26!$C$30:$C$31,[28]A26!$C$38:$E$38)</f>
        <v>1</v>
      </c>
      <c r="FG8" s="621">
        <f>SUM([29]A26!$C$30:$C$31,[29]A26!$C$38:$E$38)</f>
        <v>9</v>
      </c>
      <c r="FH8" s="621">
        <f>SUM([30]A26!$C$30:$C$31,[30]A26!$C$38:$E$38)</f>
        <v>0</v>
      </c>
      <c r="FI8" s="621">
        <f>SUM([31]A26!$C$30:$C$31,[31]A26!$C$38:$E$38)</f>
        <v>1</v>
      </c>
      <c r="FJ8" s="621">
        <f>SUM([32]A26!$C$30:$C$31,[32]A26!$C$38:$E$38)</f>
        <v>1</v>
      </c>
      <c r="FK8" s="621">
        <f>SUM([33]A26!$C$30:$C$31,[33]A26!$C$38:$E$38)</f>
        <v>3</v>
      </c>
      <c r="FL8" s="621">
        <f>SUM([34]A26!$C$30:$C$31,[34]A26!$C$38:$E$38)</f>
        <v>3</v>
      </c>
      <c r="FM8" s="621">
        <f>SUM([35]A26!$C$30:$C$31,[35]A26!$C$38:$E$38)</f>
        <v>3</v>
      </c>
      <c r="FN8" s="621">
        <f>SUM([36]A26!$C$30:$C$31,[36]A26!$C$38:$E$38)</f>
        <v>0</v>
      </c>
      <c r="FO8" s="621">
        <f>SUM([37]A26!$C$30:$C$31,[37]A26!$C$38:$E$38)</f>
        <v>0</v>
      </c>
      <c r="FP8" s="260">
        <f t="shared" si="16"/>
        <v>31</v>
      </c>
      <c r="FR8" s="621">
        <f>SUM([26]A32!$B$127:$B$129,[26]A32!$C$144,[26]A32!$C$155)</f>
        <v>0</v>
      </c>
      <c r="FS8" s="621">
        <f>SUM([27]A32!$B$127:$B$129,[27]A32!$C$144,[27]A32!$C$155)</f>
        <v>0</v>
      </c>
      <c r="FT8" s="621">
        <f>SUM([28]A32!$B$127:$B$129,[28]A32!$C$144,[28]A32!$C$155)</f>
        <v>0</v>
      </c>
      <c r="FU8" s="621">
        <f>SUM([29]A32!$B$127:$B$129,[29]A32!$C$144,[29]A32!$C$155)</f>
        <v>0</v>
      </c>
      <c r="FV8" s="621">
        <f>SUM([30]A32!$B$127:$B$129,[30]A32!$C$144,[30]A32!$C$155)</f>
        <v>0</v>
      </c>
      <c r="FW8" s="621">
        <f>SUM([31]A32!$B$127:$B$129,[31]A32!$C$144,[31]A32!$C$155)</f>
        <v>0</v>
      </c>
      <c r="FX8" s="621">
        <f>SUM([32]A32!$B$127:$B$129,[32]A32!$C$144,[32]A32!$C$155)</f>
        <v>0</v>
      </c>
      <c r="FY8" s="621">
        <f>SUM([33]A32!$B$127:$B$129,[33]A32!$C$144,[33]A32!$C$155)</f>
        <v>0</v>
      </c>
      <c r="FZ8" s="621">
        <f>SUM([34]A32!$B$127:$B$129,[34]A32!$C$144,[34]A32!$C$155)</f>
        <v>0</v>
      </c>
      <c r="GA8" s="621">
        <f>SUM([35]A32!$B$127:$B$129,[35]A32!$C$144,[35]A32!$C$155)</f>
        <v>0</v>
      </c>
      <c r="GB8" s="621">
        <f>SUM([36]A32!$B$127:$B$129,[36]A32!$C$144,[36]A32!$C$155)</f>
        <v>0</v>
      </c>
      <c r="GC8" s="621">
        <f>SUM([37]A32!$B$127:$B$129,[37]A32!$C$144,[37]A32!$C$155)</f>
        <v>0</v>
      </c>
      <c r="GD8" s="260">
        <f t="shared" si="17"/>
        <v>0</v>
      </c>
      <c r="GF8" s="621">
        <f>SUM([26]A04!$B$24)</f>
        <v>61</v>
      </c>
      <c r="GG8" s="621">
        <f>SUM([27]A04!$B$24)</f>
        <v>40</v>
      </c>
      <c r="GH8" s="621">
        <f>SUM([28]A04!$B$24)</f>
        <v>66</v>
      </c>
      <c r="GI8" s="621">
        <f>SUM([29]A04!$B$24)</f>
        <v>87</v>
      </c>
      <c r="GJ8" s="621">
        <f>SUM([30]A04!$B$24)</f>
        <v>84</v>
      </c>
      <c r="GK8" s="621">
        <f>SUM([31]A04!$B$24)</f>
        <v>92</v>
      </c>
      <c r="GL8" s="621">
        <f>SUM([32]A04!$B$24)</f>
        <v>128</v>
      </c>
      <c r="GM8" s="621">
        <f>SUM([33]A04!$B$24)</f>
        <v>110</v>
      </c>
      <c r="GN8" s="621">
        <f>SUM([34]A04!$B$24)</f>
        <v>57</v>
      </c>
      <c r="GO8" s="621">
        <f>SUM([35]A04!$B$24)</f>
        <v>100</v>
      </c>
      <c r="GP8" s="621">
        <f>SUM([36]A04!$B$24)</f>
        <v>0</v>
      </c>
      <c r="GQ8" s="621">
        <f>SUM([37]A04!$B$24)</f>
        <v>0</v>
      </c>
      <c r="GR8" s="260">
        <f t="shared" si="18"/>
        <v>825</v>
      </c>
    </row>
    <row r="9" spans="2:200" x14ac:dyDescent="0.2">
      <c r="B9" s="148">
        <v>107356</v>
      </c>
      <c r="C9" s="149" t="s">
        <v>98</v>
      </c>
      <c r="D9" s="246"/>
      <c r="E9" s="618">
        <f>SUM([38]A05!$H$114,[38]A05!$J$114,[38]A05!$L$114,[38]A05!$N$114,[38]A05!$P$114,[38]A05!$R$114,[38]A05!$T$114,[38]A05!$V$114,[38]A05!$X$114)</f>
        <v>13</v>
      </c>
      <c r="F9" s="618">
        <f>SUM([39]A05!$H$114,[39]A05!$J$114,[39]A05!$L$114,[39]A05!$N$114,[39]A05!$P$114,[39]A05!$R$114,[39]A05!$T$114,[39]A05!$V$114,[39]A05!$X$114)</f>
        <v>8</v>
      </c>
      <c r="G9" s="618">
        <f>SUM([40]A05!$H$114,[40]A05!$J$114,[40]A05!$L$114,[40]A05!$N$114,[40]A05!$P$114,[40]A05!$R$114,[40]A05!$T$114,[40]A05!$V$114,[40]A05!$X$114)</f>
        <v>8</v>
      </c>
      <c r="H9" s="618">
        <f>SUM([41]A05!$H$114,[41]A05!$J$114,[41]A05!$L$114,[41]A05!$N$114,[41]A05!$P$114,[41]A05!$R$114,[41]A05!$T$114,[41]A05!$V$114,[41]A05!$X$114)</f>
        <v>9</v>
      </c>
      <c r="I9" s="618">
        <f>SUM([42]A05!$H$114,[42]A05!$J$114,[42]A05!$L$114,[42]A05!$N$114,[42]A05!$P$114,[42]A05!$R$114,[42]A05!$T$114,[42]A05!$V$114,[42]A05!$X$114)</f>
        <v>7</v>
      </c>
      <c r="J9" s="618">
        <f>SUM([43]A05!$H$114,[43]A05!$J$114,[43]A05!$L$114,[43]A05!$N$114,[43]A05!$P$114,[43]A05!$R$114,[43]A05!$T$114,[43]A05!$V$114,[43]A05!$X$114)</f>
        <v>8</v>
      </c>
      <c r="K9" s="618">
        <f>SUM([44]A05!$H$114,[44]A05!$J$114,[44]A05!$L$114,[44]A05!$N$114,[44]A05!$P$114,[44]A05!$R$114,[44]A05!$T$114,[44]A05!$V$114,[44]A05!$X$114)</f>
        <v>12</v>
      </c>
      <c r="L9" s="618">
        <f>SUM([45]A05!$H$114,[45]A05!$J$114,[45]A05!$L$114,[45]A05!$N$114,[45]A05!$P$114,[45]A05!$R$114,[45]A05!$T$114,[45]A05!$V$114,[45]A05!$X$114)</f>
        <v>16</v>
      </c>
      <c r="M9" s="618">
        <f>SUM([46]A05!$H$114,[46]A05!$J$114,[46]A05!$L$114,[46]A05!$N$114,[46]A05!$P$114,[46]A05!$R$114,[46]A05!$T$114,[46]A05!$V$114,[46]A05!$X$114)</f>
        <v>7</v>
      </c>
      <c r="N9" s="618">
        <f>SUM([47]A05!$H$114,[47]A05!$J$114,[47]A05!$L$114,[47]A05!$N$114,[47]A05!$P$114,[47]A05!$R$114,[47]A05!$T$114,[47]A05!$V$114,[47]A05!$X$114)</f>
        <v>8</v>
      </c>
      <c r="O9" s="618">
        <f>SUM([48]A05!$H$114,[48]A05!$J$114,[48]A05!$L$114,[48]A05!$N$114,[48]A05!$P$114,[48]A05!$R$114,[48]A05!$T$114,[48]A05!$V$114,[48]A05!$X$114)</f>
        <v>0</v>
      </c>
      <c r="P9" s="618">
        <f>SUM([49]A05!$H$114,[49]A05!$J$114,[49]A05!$L$114,[49]A05!$N$114,[49]A05!$P$114,[49]A05!$R$114,[49]A05!$T$114,[49]A05!$V$114,[49]A05!$X$114)</f>
        <v>0</v>
      </c>
      <c r="Q9" s="617">
        <f t="shared" si="2"/>
        <v>96</v>
      </c>
      <c r="R9" s="246"/>
      <c r="S9" s="618">
        <f>SUM([38]A05!$I$114,[38]A05!$K$114,[38]A05!$M$114,[38]A05!$O$114,[38]A05!$Q$114,[38]A05!$S$114,[38]A05!$U$114,[38]A05!$W$114,[38]A05!$Y$114)</f>
        <v>13</v>
      </c>
      <c r="T9" s="618">
        <f>SUM([39]A05!$I$114,[39]A05!$K$114,[39]A05!$M$114,[39]A05!$O$114,[39]A05!$Q$114,[39]A05!$S$114,[39]A05!$U$114,[39]A05!$W$114,[39]A05!$Y$114)</f>
        <v>13</v>
      </c>
      <c r="U9" s="618">
        <f>SUM([40]A05!$I$114,[40]A05!$K$114,[40]A05!$M$114,[40]A05!$O$114,[40]A05!$Q$114,[40]A05!$S$114,[40]A05!$U$114,[40]A05!$W$114,[40]A05!$Y$114)</f>
        <v>6</v>
      </c>
      <c r="V9" s="618">
        <f>SUM([41]A05!$I$114,[41]A05!$K$114,[41]A05!$M$114,[41]A05!$O$114,[41]A05!$Q$114,[41]A05!$S$114,[41]A05!$U$114,[41]A05!$W$114,[41]A05!$Y$114)</f>
        <v>7</v>
      </c>
      <c r="W9" s="618">
        <f>SUM([42]A05!$I$114,[42]A05!$K$114,[42]A05!$M$114,[42]A05!$O$114,[42]A05!$Q$114,[42]A05!$S$114,[42]A05!$U$114,[42]A05!$W$114,[42]A05!$Y$114)</f>
        <v>11</v>
      </c>
      <c r="X9" s="618">
        <f>SUM([43]A05!$I$114,[43]A05!$K$114,[43]A05!$M$114,[43]A05!$O$114,[43]A05!$Q$114,[43]A05!$S$114,[43]A05!$U$114,[43]A05!$W$114,[43]A05!$Y$114)</f>
        <v>10</v>
      </c>
      <c r="Y9" s="618">
        <f>SUM([44]A05!$I$114,[44]A05!$K$114,[44]A05!$M$114,[44]A05!$O$114,[44]A05!$Q$114,[44]A05!$S$114,[44]A05!$U$114,[44]A05!$W$114,[44]A05!$Y$114)</f>
        <v>4</v>
      </c>
      <c r="Z9" s="618">
        <f>SUM([45]A05!$I$114,[45]A05!$K$114,[45]A05!$M$114,[45]A05!$O$114,[45]A05!$Q$114,[45]A05!$S$114,[45]A05!$U$114,[45]A05!$W$114,[45]A05!$Y$114)</f>
        <v>13</v>
      </c>
      <c r="AA9" s="618">
        <f>SUM([46]A05!$I$114,[46]A05!$K$114,[46]A05!$M$114,[46]A05!$O$114,[46]A05!$Q$114,[46]A05!$S$114,[46]A05!$U$114,[46]A05!$W$114,[46]A05!$Y$114)</f>
        <v>15</v>
      </c>
      <c r="AB9" s="618">
        <f>SUM([47]A05!$I$114,[47]A05!$K$114,[47]A05!$M$114,[47]A05!$O$114,[47]A05!$Q$114,[47]A05!$S$114,[47]A05!$U$114,[47]A05!$W$114,[47]A05!$Y$114)</f>
        <v>11</v>
      </c>
      <c r="AC9" s="618">
        <f>SUM([48]A05!$I$114,[48]A05!$K$114,[48]A05!$M$114,[48]A05!$O$114,[48]A05!$Q$114,[48]A05!$S$114,[48]A05!$U$114,[48]A05!$W$114,[48]A05!$Y$114)</f>
        <v>0</v>
      </c>
      <c r="AD9" s="618">
        <f>SUM([49]A05!$I$114,[49]A05!$K$114,[49]A05!$M$114,[49]A05!$O$114,[49]A05!$Q$114,[49]A05!$S$114,[49]A05!$U$114,[49]A05!$W$114,[49]A05!$Y$114)</f>
        <v>0</v>
      </c>
      <c r="AE9" s="617">
        <f t="shared" si="3"/>
        <v>103</v>
      </c>
      <c r="AF9" s="246"/>
      <c r="AG9" s="246"/>
      <c r="AH9" s="618">
        <f>SUM([38]A05!$H$127,[38]A05!$J$127,[38]A05!$L$127,[38]A05!$N$127,[38]A05!$P$127,[38]A05!$R$127,[38]A05!$T$127,[38]A05!$V$127,[38]A05!$X$127)</f>
        <v>1</v>
      </c>
      <c r="AI9" s="618">
        <f>SUM([39]A05!$H$127,[39]A05!$J$127,[39]A05!$L$127,[39]A05!$N$127,[39]A05!$P$127,[39]A05!$R$127,[39]A05!$T$127,[39]A05!$V$127,[39]A05!$X$127)</f>
        <v>3</v>
      </c>
      <c r="AJ9" s="618">
        <f>SUM([40]A05!$H$127,[40]A05!$J$127,[40]A05!$L$127,[40]A05!$N$127,[40]A05!$P$127,[40]A05!$R$127,[40]A05!$T$127,[40]A05!$V$127,[40]A05!$X$127)</f>
        <v>0</v>
      </c>
      <c r="AK9" s="618">
        <f>SUM([41]A05!$H$127,[41]A05!$J$127,[41]A05!$L$127,[41]A05!$N$127,[41]A05!$P$127,[41]A05!$R$127,[41]A05!$T$127,[41]A05!$V$127,[41]A05!$X$127)</f>
        <v>1</v>
      </c>
      <c r="AL9" s="618">
        <f>SUM([42]A05!$H$127,[42]A05!$J$127,[42]A05!$L$127,[42]A05!$N$127,[42]A05!$P$127,[42]A05!$R$127,[42]A05!$T$127,[42]A05!$V$127,[42]A05!$X$127)</f>
        <v>0</v>
      </c>
      <c r="AM9" s="618">
        <f>SUM([43]A05!$H$127,[43]A05!$J$127,[43]A05!$L$127,[43]A05!$N$127,[43]A05!$P$127,[43]A05!$R$127,[43]A05!$T$127,[43]A05!$V$127,[43]A05!$X$127)</f>
        <v>1</v>
      </c>
      <c r="AN9" s="618">
        <f>SUM([44]A05!$H$127,[44]A05!$J$127,[44]A05!$L$127,[44]A05!$N$127,[44]A05!$P$127,[44]A05!$R$127,[44]A05!$T$127,[44]A05!$V$127,[44]A05!$X$127)</f>
        <v>3</v>
      </c>
      <c r="AO9" s="618">
        <f>SUM([45]A05!$H$127,[45]A05!$J$127,[45]A05!$L$127,[45]A05!$N$127,[45]A05!$P$127,[45]A05!$R$127,[45]A05!$T$127,[45]A05!$V$127,[45]A05!$X$127)</f>
        <v>0</v>
      </c>
      <c r="AP9" s="618">
        <f>SUM([46]A05!$H$127,[46]A05!$J$127,[46]A05!$L$127,[46]A05!$N$127,[46]A05!$P$127,[46]A05!$R$127,[46]A05!$T$127,[46]A05!$V$127,[46]A05!$X$127)</f>
        <v>4</v>
      </c>
      <c r="AQ9" s="618">
        <f>SUM([47]A05!$H$127,[47]A05!$J$127,[47]A05!$L$127,[47]A05!$N$127,[47]A05!$P$127,[47]A05!$R$127,[47]A05!$T$127,[47]A05!$V$127,[47]A05!$X$127)</f>
        <v>2</v>
      </c>
      <c r="AR9" s="618">
        <f>SUM([48]A05!$H$127,[48]A05!$J$127,[48]A05!$L$127,[48]A05!$N$127,[48]A05!$P$127,[48]A05!$R$127,[48]A05!$T$127,[48]A05!$V$127,[48]A05!$X$127)</f>
        <v>0</v>
      </c>
      <c r="AS9" s="618">
        <f>SUM([49]A05!$H$127,[49]A05!$J$127,[49]A05!$L$127,[49]A05!$N$127,[49]A05!$P$127,[49]A05!$R$127,[49]A05!$T$127,[49]A05!$V$127,[49]A05!$X$127)</f>
        <v>0</v>
      </c>
      <c r="AT9" s="617">
        <f t="shared" si="4"/>
        <v>15</v>
      </c>
      <c r="AU9" s="254"/>
      <c r="AV9" s="618">
        <f>SUM([38]A05!$I$127,[38]A05!$K$127,[38]A05!$M$127,[38]A05!$O$127,[38]A05!$Q$127,[38]A05!$S$127,[38]A05!$U$127,[38]A05!$W$127,[38]A05!$Y$127)</f>
        <v>0</v>
      </c>
      <c r="AW9" s="618">
        <f>SUM([39]A05!$I$127,[39]A05!$K$127,[39]A05!$M$127,[39]A05!$O$127,[39]A05!$Q$127,[39]A05!$S$127,[39]A05!$U$127,[39]A05!$W$127,[39]A05!$Y$127)</f>
        <v>7</v>
      </c>
      <c r="AX9" s="618">
        <f>SUM([40]A05!$I$127,[40]A05!$K$127,[40]A05!$M$127,[40]A05!$O$127,[40]A05!$Q$127,[40]A05!$S$127,[40]A05!$U$127,[40]A05!$W$127,[40]A05!$Y$127)</f>
        <v>0</v>
      </c>
      <c r="AY9" s="618">
        <f>SUM([41]A05!$I$127,[41]A05!$K$127,[41]A05!$M$127,[41]A05!$O$127,[41]A05!$Q$127,[41]A05!$S$127,[41]A05!$U$127,[41]A05!$W$127,[41]A05!$Y$127)</f>
        <v>0</v>
      </c>
      <c r="AZ9" s="618">
        <f>SUM([42]A05!$I$127,[42]A05!$K$127,[42]A05!$M$127,[42]A05!$O$127,[42]A05!$Q$127,[42]A05!$S$127,[42]A05!$U$127,[42]A05!$W$127,[42]A05!$Y$127)</f>
        <v>0</v>
      </c>
      <c r="BA9" s="618">
        <f>SUM([43]A05!$I$127,[43]A05!$K$127,[43]A05!$M$127,[43]A05!$O$127,[43]A05!$Q$127,[43]A05!$S$127,[43]A05!$U$127,[43]A05!$W$127,[43]A05!$Y$127)</f>
        <v>1</v>
      </c>
      <c r="BB9" s="618">
        <f>SUM([44]A05!$I$127,[44]A05!$K$127,[44]A05!$M$127,[44]A05!$O$127,[44]A05!$Q$127,[44]A05!$S$127,[44]A05!$U$127,[44]A05!$W$127,[44]A05!$Y$127)</f>
        <v>5</v>
      </c>
      <c r="BC9" s="618">
        <f>SUM([45]A05!$I$127,[45]A05!$K$127,[45]A05!$M$127,[45]A05!$O$127,[45]A05!$Q$127,[45]A05!$S$127,[45]A05!$U$127,[45]A05!$W$127,[45]A05!$Y$127)</f>
        <v>1</v>
      </c>
      <c r="BD9" s="618">
        <f>SUM([46]A05!$I$127,[46]A05!$K$127,[46]A05!$M$127,[46]A05!$O$127,[46]A05!$Q$127,[46]A05!$S$127,[46]A05!$U$127,[46]A05!$W$127,[46]A05!$Y$127)</f>
        <v>7</v>
      </c>
      <c r="BE9" s="618">
        <f>SUM([47]A05!$I$127,[47]A05!$K$127,[47]A05!$M$127,[47]A05!$O$127,[47]A05!$Q$127,[47]A05!$S$127,[47]A05!$U$127,[47]A05!$W$127,[47]A05!$Y$127)</f>
        <v>3</v>
      </c>
      <c r="BF9" s="618">
        <f>SUM([48]A05!$I$127,[48]A05!$K$127,[48]A05!$M$127,[48]A05!$O$127,[48]A05!$Q$127,[48]A05!$S$127,[48]A05!$U$127,[48]A05!$W$127,[48]A05!$Y$127)</f>
        <v>0</v>
      </c>
      <c r="BG9" s="618">
        <f>SUM([49]A05!$I$127,[49]A05!$K$127,[49]A05!$M$127,[49]A05!$O$127,[49]A05!$Q$127,[49]A05!$S$127,[49]A05!$U$127,[49]A05!$W$127,[49]A05!$Y$127)</f>
        <v>0</v>
      </c>
      <c r="BH9" s="617">
        <f t="shared" si="5"/>
        <v>24</v>
      </c>
      <c r="BI9" s="254"/>
      <c r="BJ9" s="618">
        <f>[38]A05!$C$186</f>
        <v>32</v>
      </c>
      <c r="BK9" s="618">
        <f>[39]A05!$C$186</f>
        <v>30</v>
      </c>
      <c r="BL9" s="618">
        <f>[40]A05!$C$186</f>
        <v>69</v>
      </c>
      <c r="BM9" s="618">
        <f>[41]A05!$C$186</f>
        <v>45</v>
      </c>
      <c r="BN9" s="618">
        <f>[42]A05!$C$186</f>
        <v>16</v>
      </c>
      <c r="BO9" s="618">
        <f>[43]A05!$C$186</f>
        <v>78</v>
      </c>
      <c r="BP9" s="618">
        <f>[44]A05!$C$186</f>
        <v>53</v>
      </c>
      <c r="BQ9" s="618">
        <f>[45]A05!$C$186</f>
        <v>48</v>
      </c>
      <c r="BR9" s="618">
        <f>[46]A05!$C$186</f>
        <v>87</v>
      </c>
      <c r="BS9" s="618">
        <f>[47]A05!$C$186</f>
        <v>50</v>
      </c>
      <c r="BT9" s="618">
        <f>[48]A05!$C$186</f>
        <v>0</v>
      </c>
      <c r="BU9" s="618">
        <f>[49]A05!$C$186</f>
        <v>0</v>
      </c>
      <c r="BV9" s="617">
        <f t="shared" si="6"/>
        <v>508</v>
      </c>
      <c r="BW9" s="254"/>
      <c r="BX9" s="608">
        <f>SUM([38]A05!$C$234,[38]A05!$AN$241,[38]A05!$AO$241,[38]A05!$AP$241)</f>
        <v>1</v>
      </c>
      <c r="BY9" s="608">
        <f>SUM([39]A05!$C$234,[39]A05!$AN$241,[39]A05!$AO$241,[39]A05!$AP$241)</f>
        <v>2</v>
      </c>
      <c r="BZ9" s="608">
        <f>SUM([40]A05!$C$234,[40]A05!$AN$241,[40]A05!$AO$241,[40]A05!$AP$241)</f>
        <v>21</v>
      </c>
      <c r="CA9" s="608">
        <f>SUM([41]A05!$C$234,[41]A05!$AN$241,[41]A05!$AO$241,[41]A05!$AP$241)</f>
        <v>0</v>
      </c>
      <c r="CB9" s="608">
        <f>SUM([42]A05!$C$234,[42]A05!$AN$241,[42]A05!$AO$241,[42]A05!$AP$241)</f>
        <v>10</v>
      </c>
      <c r="CC9" s="608">
        <f>SUM([43]A05!$C$234,[43]A05!$AN$241,[43]A05!$AO$241,[43]A05!$AP$241)</f>
        <v>88</v>
      </c>
      <c r="CD9" s="608">
        <f>SUM([44]A05!$C$234,[44]A05!$AN$241,[44]A05!$AO$241,[44]A05!$AP$241)</f>
        <v>1</v>
      </c>
      <c r="CE9" s="608">
        <f>SUM([45]A05!$C$234,[45]A05!$AN$241,[45]A05!$AO$241,[45]A05!$AP$241)</f>
        <v>3</v>
      </c>
      <c r="CF9" s="608">
        <f>SUM([46]A05!$C$234,[46]A05!$AN$241,[46]A05!$AO$241,[46]A05!$AP$241)</f>
        <v>208</v>
      </c>
      <c r="CG9" s="608">
        <f>SUM([47]A05!$C$234,[47]A05!$AN$241,[47]A05!$AO$241,[47]A05!$AP$241)</f>
        <v>178</v>
      </c>
      <c r="CH9" s="608">
        <f>SUM([48]A05!$C$234,[48]A05!$AN$241,[48]A05!$AO$241,[48]A05!$AP$241)</f>
        <v>0</v>
      </c>
      <c r="CI9" s="608">
        <f>SUM([49]A05!$C$234,[49]A05!$AN$241,[49]A05!$AO$241,[49]A05!$AP$241)</f>
        <v>0</v>
      </c>
      <c r="CJ9" s="260">
        <f t="shared" si="7"/>
        <v>512</v>
      </c>
      <c r="CK9" s="254"/>
      <c r="CL9" s="608">
        <f>SUM([38]A09!$G$12:$AB$12)</f>
        <v>533</v>
      </c>
      <c r="CM9" s="608">
        <f>SUM([39]A09!$G$12:$AB$12)</f>
        <v>281</v>
      </c>
      <c r="CN9" s="608">
        <f>SUM([40]A09!$G$12:$AB$12)</f>
        <v>269</v>
      </c>
      <c r="CO9" s="608">
        <f>SUM([41]A09!$G$12:$AB$12)</f>
        <v>244</v>
      </c>
      <c r="CP9" s="608">
        <f>SUM([42]A09!$G$12:$AB$12)</f>
        <v>291</v>
      </c>
      <c r="CQ9" s="608">
        <f>SUM([43]A09!$G$12:$AB$12)</f>
        <v>177</v>
      </c>
      <c r="CR9" s="608">
        <f>SUM([44]A09!$G$12:$AB$12)</f>
        <v>260</v>
      </c>
      <c r="CS9" s="608">
        <f>SUM([45]A09!$G$12:$AB$12)</f>
        <v>330</v>
      </c>
      <c r="CT9" s="608">
        <f>SUM([46]A09!$G$12:$AB$12)</f>
        <v>246</v>
      </c>
      <c r="CU9" s="608">
        <f>SUM([47]A09!$G$12:$AB$12)</f>
        <v>434</v>
      </c>
      <c r="CV9" s="608">
        <f>SUM([48]A09!$G$12:$AB$12)</f>
        <v>0</v>
      </c>
      <c r="CW9" s="608">
        <f>SUM([49]A09!$G$12:$AB$12)</f>
        <v>0</v>
      </c>
      <c r="CX9" s="260">
        <f t="shared" si="8"/>
        <v>3065</v>
      </c>
      <c r="CY9" s="254"/>
      <c r="CZ9" s="608">
        <f>SUM([38]A09!$G$48:$L$48)</f>
        <v>39</v>
      </c>
      <c r="DA9" s="608">
        <f>SUM([39]A09!$G$48:$L$48)</f>
        <v>33</v>
      </c>
      <c r="DB9" s="608">
        <f>SUM([40]A09!$G$48:$L$48)</f>
        <v>30</v>
      </c>
      <c r="DC9" s="608">
        <f>SUM([41]A09!$G$48:$L$48)</f>
        <v>25</v>
      </c>
      <c r="DD9" s="608">
        <f>SUM([42]A09!$G$48:$L$48)</f>
        <v>21</v>
      </c>
      <c r="DE9" s="608">
        <f>SUM([43]A09!$G$48:$L$48)</f>
        <v>23</v>
      </c>
      <c r="DF9" s="608">
        <f>SUM([44]A09!$G$48:$L$48)</f>
        <v>16</v>
      </c>
      <c r="DG9" s="608">
        <f>SUM([45]A09!$G$48:$L$48)</f>
        <v>18</v>
      </c>
      <c r="DH9" s="608">
        <f>SUM([46]A09!$G$48:$L$48)</f>
        <v>23</v>
      </c>
      <c r="DI9" s="608">
        <f>SUM([47]A09!$G$48:$L$48)</f>
        <v>41</v>
      </c>
      <c r="DJ9" s="608">
        <f>SUM([48]A09!$G$48:$L$48)</f>
        <v>0</v>
      </c>
      <c r="DK9" s="608">
        <f>SUM([49]A09!$G$48:$L$48)</f>
        <v>0</v>
      </c>
      <c r="DL9" s="260">
        <f t="shared" si="9"/>
        <v>269</v>
      </c>
      <c r="DM9" s="285"/>
      <c r="DN9" s="434">
        <f t="shared" si="0"/>
        <v>385</v>
      </c>
      <c r="DO9" s="434">
        <f t="shared" si="0"/>
        <v>389</v>
      </c>
      <c r="DP9" s="798">
        <f t="shared" si="0"/>
        <v>560</v>
      </c>
      <c r="DQ9" s="798">
        <f t="shared" si="0"/>
        <v>575</v>
      </c>
      <c r="DR9" s="434">
        <f t="shared" si="0"/>
        <v>459</v>
      </c>
      <c r="DS9" s="434">
        <f t="shared" si="0"/>
        <v>521</v>
      </c>
      <c r="DT9" s="434">
        <f t="shared" si="0"/>
        <v>718</v>
      </c>
      <c r="DU9" s="434">
        <f t="shared" si="0"/>
        <v>801</v>
      </c>
      <c r="DV9" s="434">
        <f t="shared" si="10"/>
        <v>605</v>
      </c>
      <c r="DW9" s="434">
        <f t="shared" si="11"/>
        <v>753</v>
      </c>
      <c r="DX9" s="434">
        <f t="shared" si="12"/>
        <v>0</v>
      </c>
      <c r="DY9" s="434">
        <f t="shared" si="1"/>
        <v>0</v>
      </c>
      <c r="DZ9" s="260">
        <f t="shared" si="13"/>
        <v>5766</v>
      </c>
      <c r="EA9" s="254"/>
      <c r="EB9" s="620">
        <f>SUM([38]A06!$C$22:$C$23,[38]A06!$E$32)</f>
        <v>367</v>
      </c>
      <c r="EC9" s="620">
        <f>SUM([39]A06!$C$22:$C$23,[39]A06!$E$32)</f>
        <v>366</v>
      </c>
      <c r="ED9" s="620">
        <f>SUM([40]A06!$C$22:$C$23,[40]A06!$E$32)</f>
        <v>520</v>
      </c>
      <c r="EE9" s="620">
        <f>SUM([41]A06!$C$22:$C$23,[41]A06!$E$32)</f>
        <v>491</v>
      </c>
      <c r="EF9" s="620">
        <f>SUM([42]A06!$C$22:$C$23,[42]A06!$E$32)</f>
        <v>427</v>
      </c>
      <c r="EG9" s="620">
        <f>SUM([43]A06!$C$22:$C$23,[43]A06!$E$32)</f>
        <v>442</v>
      </c>
      <c r="EH9" s="620">
        <f>SUM([44]A06!$C$22:$C$23,[44]A06!$E$32)</f>
        <v>601</v>
      </c>
      <c r="EI9" s="620">
        <f>SUM([45]A06!$C$22:$C$23,[45]A06!$E$32)</f>
        <v>727</v>
      </c>
      <c r="EJ9" s="620">
        <f>SUM([46]A06!$C$22:$C$23,[46]A06!$E$32)</f>
        <v>474</v>
      </c>
      <c r="EK9" s="620">
        <f>SUM([47]A06!$C$22:$C$23,[47]A06!$E$32)</f>
        <v>684</v>
      </c>
      <c r="EL9" s="620">
        <f>SUM([48]A06!$C$22:$C$23,[48]A06!$E$32)</f>
        <v>0</v>
      </c>
      <c r="EM9" s="620">
        <f>SUM([49]A06!$C$22:$C$23,[49]A06!$E$32)</f>
        <v>0</v>
      </c>
      <c r="EN9" s="260">
        <f t="shared" si="14"/>
        <v>5099</v>
      </c>
      <c r="EP9" s="621">
        <f>SUM([38]A19a!$C$97,$C$99)</f>
        <v>0</v>
      </c>
      <c r="EQ9" s="621">
        <f>SUM([39]A19a!$C$97,$C$99)</f>
        <v>0</v>
      </c>
      <c r="ER9" s="802">
        <f>SUM([40]A19a!$C$97,$C$99)</f>
        <v>0</v>
      </c>
      <c r="ES9" s="802">
        <f>SUM([41]A19a!$C$97,[41]A19a!$C$99)</f>
        <v>1</v>
      </c>
      <c r="ET9" s="621">
        <f>SUM([42]A19a!$C$97,$C$99)</f>
        <v>0</v>
      </c>
      <c r="EU9" s="621">
        <f>SUM([43]A19a!$C$97,$C$99)</f>
        <v>0</v>
      </c>
      <c r="EV9" s="621">
        <f>SUM([44]A19a!$C$97,$C$99)</f>
        <v>1</v>
      </c>
      <c r="EW9" s="621">
        <f>SUM([45]A19a!$C$97,$C$99)</f>
        <v>0</v>
      </c>
      <c r="EX9" s="621">
        <f>SUM([46]A19a!$C$97,$C$99)</f>
        <v>0</v>
      </c>
      <c r="EY9" s="621">
        <f>SUM([47]A19a!$C$97,$C$99)</f>
        <v>0</v>
      </c>
      <c r="EZ9" s="621">
        <f>SUM([48]A19a!$C$97,$C$99)</f>
        <v>0</v>
      </c>
      <c r="FA9" s="621">
        <f>SUM([49]A19a!$C$97,$C$99)</f>
        <v>0</v>
      </c>
      <c r="FB9" s="260">
        <f t="shared" si="15"/>
        <v>2</v>
      </c>
      <c r="FD9" s="621">
        <f>SUM([38]A26!$C$30:$C$31,[38]A26!$C$38:$E$38)</f>
        <v>5</v>
      </c>
      <c r="FE9" s="621">
        <f>SUM([39]A26!$C$30:$C$31,[39]A26!$C$38:$E$38)</f>
        <v>0</v>
      </c>
      <c r="FF9" s="621">
        <f>SUM([40]A26!$C$30:$C$31,[40]A26!$C$38:$E$38)</f>
        <v>2</v>
      </c>
      <c r="FG9" s="621">
        <f>SUM([41]A26!$C$30:$C$31,[41]A26!$C$38:$E$38)</f>
        <v>1</v>
      </c>
      <c r="FH9" s="621">
        <f>SUM([42]A26!$C$30:$C$31,[42]A26!$C$38:$E$38)</f>
        <v>5</v>
      </c>
      <c r="FI9" s="621">
        <f>SUM([43]A26!$C$30:$C$31,[43]A26!$C$38:$E$38)</f>
        <v>2</v>
      </c>
      <c r="FJ9" s="621">
        <f>SUM([44]A26!$C$30:$C$31,[44]A26!$C$38:$E$38)</f>
        <v>7</v>
      </c>
      <c r="FK9" s="621">
        <f>SUM([45]A26!$C$30:$C$31,[45]A26!$C$38:$E$38)</f>
        <v>4</v>
      </c>
      <c r="FL9" s="621">
        <f>SUM([46]A26!$C$30:$C$31,[46]A26!$C$38:$E$38)</f>
        <v>7</v>
      </c>
      <c r="FM9" s="621">
        <f>SUM([47]A26!$C$30:$C$31,[47]A26!$C$38:$E$38)</f>
        <v>1</v>
      </c>
      <c r="FN9" s="621">
        <f>SUM([48]A26!$C$30:$C$31,[48]A26!$C$38:$E$38)</f>
        <v>0</v>
      </c>
      <c r="FO9" s="621">
        <f>SUM([49]A26!$C$30:$C$31,[49]A26!$C$38:$E$38)</f>
        <v>0</v>
      </c>
      <c r="FP9" s="260">
        <f t="shared" si="16"/>
        <v>34</v>
      </c>
      <c r="FR9" s="621">
        <f>SUM([38]A32!$B$127:$B$129,[38]A32!$C$144,[38]A32!$C$155)</f>
        <v>0</v>
      </c>
      <c r="FS9" s="621">
        <f>SUM([39]A32!$B$127:$B$129,[39]A32!$C$144,[39]A32!$C$155)</f>
        <v>12</v>
      </c>
      <c r="FT9" s="621">
        <f>SUM([40]A32!$B$127:$B$129,[40]A32!$C$144,[40]A32!$C$155)</f>
        <v>19</v>
      </c>
      <c r="FU9" s="621">
        <f>SUM([41]A32!$B$127:$B$129,[41]A32!$C$144,[41]A32!$C$155)</f>
        <v>27</v>
      </c>
      <c r="FV9" s="621">
        <f>SUM([42]A32!$B$127:$B$129,[42]A32!$C$144,[42]A32!$C$155)</f>
        <v>0</v>
      </c>
      <c r="FW9" s="621">
        <f>SUM([43]A32!$B$127:$B$129,[43]A32!$C$144,[43]A32!$C$155)</f>
        <v>39</v>
      </c>
      <c r="FX9" s="621">
        <f>SUM([44]A32!$B$127:$B$129,[44]A32!$C$144,[44]A32!$C$155)</f>
        <v>22</v>
      </c>
      <c r="FY9" s="621">
        <f>SUM([45]A32!$B$127:$B$129,[45]A32!$C$144,[45]A32!$C$155)</f>
        <v>33</v>
      </c>
      <c r="FZ9" s="621">
        <f>SUM([46]A32!$B$127:$B$129,[46]A32!$C$144,[46]A32!$C$155)</f>
        <v>41</v>
      </c>
      <c r="GA9" s="621">
        <f>SUM([47]A32!$B$127:$B$129,[47]A32!$C$144,[47]A32!$C$155)</f>
        <v>33</v>
      </c>
      <c r="GB9" s="621">
        <f>SUM([48]A32!$B$127:$B$129,[48]A32!$C$144,[48]A32!$C$155)</f>
        <v>0</v>
      </c>
      <c r="GC9" s="621">
        <f>SUM([49]A32!$B$127:$B$129,[49]A32!$C$144,[49]A32!$C$155)</f>
        <v>0</v>
      </c>
      <c r="GD9" s="260">
        <f t="shared" si="17"/>
        <v>226</v>
      </c>
      <c r="GF9" s="621">
        <f>SUM([38]A04!$B$24)</f>
        <v>13</v>
      </c>
      <c r="GG9" s="621">
        <f>SUM([39]A04!$B$24)</f>
        <v>11</v>
      </c>
      <c r="GH9" s="621">
        <f>SUM([40]A04!$B$24)</f>
        <v>19</v>
      </c>
      <c r="GI9" s="621">
        <f>SUM([41]A04!$B$24)</f>
        <v>55</v>
      </c>
      <c r="GJ9" s="621">
        <f>SUM([42]A04!$B$24)</f>
        <v>27</v>
      </c>
      <c r="GK9" s="621">
        <f>SUM([43]A04!$B$24)</f>
        <v>38</v>
      </c>
      <c r="GL9" s="621">
        <f>SUM([44]A04!$B$24)</f>
        <v>87</v>
      </c>
      <c r="GM9" s="621">
        <f>SUM([45]A04!$B$24)</f>
        <v>37</v>
      </c>
      <c r="GN9" s="621">
        <f>SUM([46]A04!$B$24)</f>
        <v>83</v>
      </c>
      <c r="GO9" s="621">
        <f>SUM([47]A04!$B$24)</f>
        <v>35</v>
      </c>
      <c r="GP9" s="621">
        <f>SUM([48]A04!$B$24)</f>
        <v>0</v>
      </c>
      <c r="GQ9" s="621">
        <f>SUM([49]A04!$B$24)</f>
        <v>0</v>
      </c>
      <c r="GR9" s="260">
        <f t="shared" si="18"/>
        <v>405</v>
      </c>
    </row>
    <row r="10" spans="2:200" x14ac:dyDescent="0.2">
      <c r="B10" s="148">
        <v>107357</v>
      </c>
      <c r="C10" s="149" t="s">
        <v>99</v>
      </c>
      <c r="D10" s="246"/>
      <c r="E10" s="618">
        <f>SUM([50]A05!$H$114,[50]A05!$J$114,[50]A05!$L$114,[50]A05!$N$114,[50]A05!$P$114,[50]A05!$R$114,[50]A05!$T$114,[50]A05!$V$114,[50]A05!$X$114)</f>
        <v>7</v>
      </c>
      <c r="F10" s="618">
        <f>SUM([51]A05!$H$114,[51]A05!$J$114,[51]A05!$L$114,[51]A05!$N$114,[51]A05!$P$114,[51]A05!$R$114,[51]A05!$T$114,[51]A05!$V$114,[51]A05!$X$114)</f>
        <v>2</v>
      </c>
      <c r="G10" s="618">
        <f>SUM([52]A05!$H$114,[52]A05!$J$114,[52]A05!$L$114,[52]A05!$N$114,[52]A05!$P$114,[52]A05!$R$114,[52]A05!$T$114,[52]A05!$V$114,[52]A05!$X$114)</f>
        <v>9</v>
      </c>
      <c r="H10" s="618">
        <f>SUM([53]A05!$H$114,[53]A05!$J$114,[53]A05!$L$114,[53]A05!$N$114,[53]A05!$P$114,[53]A05!$R$114,[53]A05!$T$114,[53]A05!$V$114,[53]A05!$X$114)</f>
        <v>7</v>
      </c>
      <c r="I10" s="618">
        <f>SUM([54]A05!$H$114,[54]A05!$J$114,[54]A05!$L$114,[54]A05!$N$114,[54]A05!$P$114,[54]A05!$R$114,[54]A05!$T$114,[54]A05!$V$114,[54]A05!$X$114)</f>
        <v>4</v>
      </c>
      <c r="J10" s="618">
        <f>SUM([55]A05!$H$114,[55]A05!$J$114,[55]A05!$L$114,[55]A05!$N$114,[55]A05!$P$114,[55]A05!$R$114,[55]A05!$T$114,[55]A05!$V$114,[55]A05!$X$114)</f>
        <v>10</v>
      </c>
      <c r="K10" s="618">
        <f>SUM([56]A05!$H$114,[56]A05!$J$114,[56]A05!$L$114,[56]A05!$N$114,[56]A05!$P$114,[56]A05!$R$114,[56]A05!$T$114,[56]A05!$V$114,[56]A05!$X$114)</f>
        <v>9</v>
      </c>
      <c r="L10" s="618">
        <f>SUM([57]A05!$H$114,[57]A05!$J$114,[57]A05!$L$114,[57]A05!$N$114,[57]A05!$P$114,[57]A05!$R$114,[57]A05!$T$114,[57]A05!$V$114,[57]A05!$X$114)</f>
        <v>4</v>
      </c>
      <c r="M10" s="618">
        <f>SUM([58]A05!$H$114,[58]A05!$J$114,[58]A05!$L$114,[58]A05!$N$114,[58]A05!$P$114,[58]A05!$R$114,[58]A05!$T$114,[58]A05!$V$114,[58]A05!$X$114)</f>
        <v>3</v>
      </c>
      <c r="N10" s="618">
        <f>SUM([59]A05!$H$114,[59]A05!$J$114,[59]A05!$L$114,[59]A05!$N$114,[59]A05!$P$114,[59]A05!$R$114,[59]A05!$T$114,[59]A05!$V$114,[59]A05!$X$114)</f>
        <v>17</v>
      </c>
      <c r="O10" s="618">
        <f>SUM([60]A05!$H$114,[60]A05!$J$114,[60]A05!$L$114,[60]A05!$N$114,[60]A05!$P$114,[60]A05!$R$114,[60]A05!$T$114,[60]A05!$V$114,[60]A05!$X$114)</f>
        <v>0</v>
      </c>
      <c r="P10" s="618">
        <f>SUM([61]A05!$H$114,[61]A05!$J$114,[61]A05!$L$114,[61]A05!$N$114,[61]A05!$P$114,[61]A05!$R$114,[61]A05!$T$114,[61]A05!$V$114,[61]A05!$X$114)</f>
        <v>0</v>
      </c>
      <c r="Q10" s="617">
        <f t="shared" si="2"/>
        <v>72</v>
      </c>
      <c r="R10" s="246"/>
      <c r="S10" s="618">
        <f>SUM([50]A05!$I$114,[50]A05!$K$114,[50]A05!$M$114,[50]A05!$O$114,[50]A05!$Q$114,[50]A05!$S$114,[50]A05!$U$114,[50]A05!$W$114,[50]A05!$Y$114)</f>
        <v>4</v>
      </c>
      <c r="T10" s="618">
        <f>SUM([51]A05!$I$114,[51]A05!$K$114,[51]A05!$M$114,[51]A05!$O$114,[51]A05!$Q$114,[51]A05!$S$114,[51]A05!$U$114,[51]A05!$W$114,[51]A05!$Y$114)</f>
        <v>6</v>
      </c>
      <c r="U10" s="618">
        <f>SUM([52]A05!$I$114,[52]A05!$K$114,[52]A05!$M$114,[52]A05!$O$114,[52]A05!$Q$114,[52]A05!$S$114,[52]A05!$U$114,[52]A05!$W$114,[52]A05!$Y$114)</f>
        <v>14</v>
      </c>
      <c r="V10" s="618">
        <f>SUM([53]A05!$I$114,[53]A05!$K$114,[53]A05!$M$114,[53]A05!$O$114,[53]A05!$Q$114,[53]A05!$S$114,[53]A05!$U$114,[53]A05!$W$114,[53]A05!$Y$114)</f>
        <v>7</v>
      </c>
      <c r="W10" s="618">
        <f>SUM([54]A05!$I$114,[54]A05!$K$114,[54]A05!$M$114,[54]A05!$O$114,[54]A05!$Q$114,[54]A05!$S$114,[54]A05!$U$114,[54]A05!$W$114,[54]A05!$Y$114)</f>
        <v>5</v>
      </c>
      <c r="X10" s="618">
        <f>SUM([55]A05!$I$114,[55]A05!$K$114,[55]A05!$M$114,[55]A05!$O$114,[55]A05!$Q$114,[55]A05!$S$114,[55]A05!$U$114,[55]A05!$W$114,[55]A05!$Y$114)</f>
        <v>12</v>
      </c>
      <c r="Y10" s="618">
        <f>SUM([56]A05!$I$114,[56]A05!$K$114,[56]A05!$M$114,[56]A05!$O$114,[56]A05!$Q$114,[56]A05!$S$114,[56]A05!$U$114,[56]A05!$W$114,[56]A05!$Y$114)</f>
        <v>13</v>
      </c>
      <c r="Z10" s="618">
        <f>SUM([57]A05!$I$114,[57]A05!$K$114,[57]A05!$M$114,[57]A05!$O$114,[57]A05!$Q$114,[57]A05!$S$114,[57]A05!$U$114,[57]A05!$W$114,[57]A05!$Y$114)</f>
        <v>5</v>
      </c>
      <c r="AA10" s="618">
        <f>SUM([58]A05!$I$114,[58]A05!$K$114,[58]A05!$M$114,[58]A05!$O$114,[58]A05!$Q$114,[58]A05!$S$114,[58]A05!$U$114,[58]A05!$W$114,[58]A05!$Y$114)</f>
        <v>6</v>
      </c>
      <c r="AB10" s="618">
        <f>SUM([59]A05!$I$114,[59]A05!$K$114,[59]A05!$M$114,[59]A05!$O$114,[59]A05!$Q$114,[59]A05!$S$114,[59]A05!$U$114,[59]A05!$W$114,[59]A05!$Y$114)</f>
        <v>6</v>
      </c>
      <c r="AC10" s="618">
        <f>SUM([60]A05!$I$114,[60]A05!$K$114,[60]A05!$M$114,[60]A05!$O$114,[60]A05!$Q$114,[60]A05!$S$114,[60]A05!$U$114,[60]A05!$W$114,[60]A05!$Y$114)</f>
        <v>0</v>
      </c>
      <c r="AD10" s="618">
        <f>SUM([61]A05!$I$114,[61]A05!$K$114,[61]A05!$M$114,[61]A05!$O$114,[61]A05!$Q$114,[61]A05!$S$114,[61]A05!$U$114,[61]A05!$W$114,[61]A05!$Y$114)</f>
        <v>0</v>
      </c>
      <c r="AE10" s="617">
        <f t="shared" si="3"/>
        <v>78</v>
      </c>
      <c r="AF10" s="246"/>
      <c r="AG10" s="246"/>
      <c r="AH10" s="618">
        <f>SUM([50]A05!$H$127,[50]A05!$J$127,[50]A05!$L$127,[50]A05!$N$127,[50]A05!$P$127,[50]A05!$R$127,[50]A05!$T$127,[50]A05!$V$127,[50]A05!$X$127)</f>
        <v>0</v>
      </c>
      <c r="AI10" s="618">
        <f>SUM([51]A05!$H$127,[51]A05!$J$127,[51]A05!$L$127,[51]A05!$N$127,[51]A05!$P$127,[51]A05!$R$127,[51]A05!$T$127,[51]A05!$V$127,[51]A05!$X$127)</f>
        <v>0</v>
      </c>
      <c r="AJ10" s="618">
        <f>SUM([52]A05!$H$127,[52]A05!$J$127,[52]A05!$L$127,[52]A05!$N$127,[52]A05!$P$127,[52]A05!$R$127,[52]A05!$T$127,[52]A05!$V$127,[52]A05!$X$127)</f>
        <v>0</v>
      </c>
      <c r="AK10" s="618">
        <f>SUM([53]A05!$H$127,[53]A05!$J$127,[53]A05!$L$127,[53]A05!$N$127,[53]A05!$P$127,[53]A05!$R$127,[53]A05!$T$127,[53]A05!$V$127,[53]A05!$X$127)</f>
        <v>0</v>
      </c>
      <c r="AL10" s="618">
        <f>SUM([54]A05!$H$127,[54]A05!$J$127,[54]A05!$L$127,[54]A05!$N$127,[54]A05!$P$127,[54]A05!$R$127,[54]A05!$T$127,[54]A05!$V$127,[54]A05!$X$127)</f>
        <v>0</v>
      </c>
      <c r="AM10" s="618">
        <f>SUM([55]A05!$H$127,[55]A05!$J$127,[55]A05!$L$127,[55]A05!$N$127,[55]A05!$P$127,[55]A05!$R$127,[55]A05!$T$127,[55]A05!$V$127,[55]A05!$X$127)</f>
        <v>5</v>
      </c>
      <c r="AN10" s="618">
        <f>SUM([56]A05!$H$127,[56]A05!$J$127,[56]A05!$L$127,[56]A05!$N$127,[56]A05!$P$127,[56]A05!$R$127,[56]A05!$T$127,[56]A05!$V$127,[56]A05!$X$127)</f>
        <v>4</v>
      </c>
      <c r="AO10" s="618">
        <f>SUM([57]A05!$H$127,[57]A05!$J$127,[57]A05!$L$127,[57]A05!$N$127,[57]A05!$P$127,[57]A05!$R$127,[57]A05!$T$127,[57]A05!$V$127,[57]A05!$X$127)</f>
        <v>3</v>
      </c>
      <c r="AP10" s="618">
        <f>SUM([58]A05!$H$127,[58]A05!$J$127,[58]A05!$L$127,[58]A05!$N$127,[58]A05!$P$127,[58]A05!$R$127,[58]A05!$T$127,[58]A05!$V$127,[58]A05!$X$127)</f>
        <v>1</v>
      </c>
      <c r="AQ10" s="618">
        <f>SUM([59]A05!$H$127,[59]A05!$J$127,[59]A05!$L$127,[59]A05!$N$127,[59]A05!$P$127,[59]A05!$R$127,[59]A05!$T$127,[59]A05!$V$127,[59]A05!$X$127)</f>
        <v>6</v>
      </c>
      <c r="AR10" s="618">
        <f>SUM([60]A05!$H$127,[60]A05!$J$127,[60]A05!$L$127,[60]A05!$N$127,[60]A05!$P$127,[60]A05!$R$127,[60]A05!$T$127,[60]A05!$V$127,[60]A05!$X$127)</f>
        <v>0</v>
      </c>
      <c r="AS10" s="618">
        <f>SUM([61]A05!$H$127,[61]A05!$J$127,[61]A05!$L$127,[61]A05!$N$127,[61]A05!$P$127,[61]A05!$R$127,[61]A05!$T$127,[61]A05!$V$127,[61]A05!$X$127)</f>
        <v>0</v>
      </c>
      <c r="AT10" s="617">
        <f t="shared" si="4"/>
        <v>19</v>
      </c>
      <c r="AU10" s="254"/>
      <c r="AV10" s="618">
        <f>SUM([50]A05!$I$127,[50]A05!$K$127,[50]A05!$M$127,[50]A05!$O$127,[50]A05!$Q$127,[50]A05!$S$127,[50]A05!$U$127,[50]A05!$W$127,[50]A05!$Y$127)</f>
        <v>1</v>
      </c>
      <c r="AW10" s="618">
        <f>SUM([51]A05!$I$127,[51]A05!$K$127,[51]A05!$M$127,[51]A05!$O$127,[51]A05!$Q$127,[51]A05!$S$127,[51]A05!$U$127,[51]A05!$W$127,[51]A05!$Y$127)</f>
        <v>2</v>
      </c>
      <c r="AX10" s="618">
        <f>SUM([52]A05!$I$127,[52]A05!$K$127,[52]A05!$M$127,[52]A05!$O$127,[52]A05!$Q$127,[52]A05!$S$127,[52]A05!$U$127,[52]A05!$W$127,[52]A05!$Y$127)</f>
        <v>0</v>
      </c>
      <c r="AY10" s="618">
        <f>SUM([53]A05!$I$127,[53]A05!$K$127,[53]A05!$M$127,[53]A05!$O$127,[53]A05!$Q$127,[53]A05!$S$127,[53]A05!$U$127,[53]A05!$W$127,[53]A05!$Y$127)</f>
        <v>1</v>
      </c>
      <c r="AZ10" s="618">
        <f>SUM([54]A05!$I$127,[54]A05!$K$127,[54]A05!$M$127,[54]A05!$O$127,[54]A05!$Q$127,[54]A05!$S$127,[54]A05!$U$127,[54]A05!$W$127,[54]A05!$Y$127)</f>
        <v>0</v>
      </c>
      <c r="BA10" s="618">
        <f>SUM([55]A05!$I$127,[55]A05!$K$127,[55]A05!$M$127,[55]A05!$O$127,[55]A05!$Q$127,[55]A05!$S$127,[55]A05!$U$127,[55]A05!$W$127,[55]A05!$Y$127)</f>
        <v>0</v>
      </c>
      <c r="BB10" s="618">
        <f>SUM([56]A05!$I$127,[56]A05!$K$127,[56]A05!$M$127,[56]A05!$O$127,[56]A05!$Q$127,[56]A05!$S$127,[56]A05!$U$127,[56]A05!$W$127,[56]A05!$Y$127)</f>
        <v>1</v>
      </c>
      <c r="BC10" s="618">
        <f>SUM([57]A05!$I$127,[57]A05!$K$127,[57]A05!$M$127,[57]A05!$O$127,[57]A05!$Q$127,[57]A05!$S$127,[57]A05!$U$127,[57]A05!$W$127,[57]A05!$Y$127)</f>
        <v>2</v>
      </c>
      <c r="BD10" s="618">
        <f>SUM([58]A05!$I$127,[58]A05!$K$127,[58]A05!$M$127,[58]A05!$O$127,[58]A05!$Q$127,[58]A05!$S$127,[58]A05!$U$127,[58]A05!$W$127,[58]A05!$Y$127)</f>
        <v>1</v>
      </c>
      <c r="BE10" s="618">
        <f>SUM([59]A05!$I$127,[59]A05!$K$127,[59]A05!$M$127,[59]A05!$O$127,[59]A05!$Q$127,[59]A05!$S$127,[59]A05!$U$127,[59]A05!$W$127,[59]A05!$Y$127)</f>
        <v>0</v>
      </c>
      <c r="BF10" s="618">
        <f>SUM([60]A05!$I$127,[60]A05!$K$127,[60]A05!$M$127,[60]A05!$O$127,[60]A05!$Q$127,[60]A05!$S$127,[60]A05!$U$127,[60]A05!$W$127,[60]A05!$Y$127)</f>
        <v>0</v>
      </c>
      <c r="BG10" s="618">
        <f>SUM([61]A05!$I$127,[61]A05!$K$127,[61]A05!$M$127,[61]A05!$O$127,[61]A05!$Q$127,[61]A05!$S$127,[61]A05!$U$127,[61]A05!$W$127,[61]A05!$Y$127)</f>
        <v>0</v>
      </c>
      <c r="BH10" s="617">
        <f t="shared" si="5"/>
        <v>8</v>
      </c>
      <c r="BI10" s="254"/>
      <c r="BJ10" s="618">
        <f>[50]A05!$C$186</f>
        <v>19</v>
      </c>
      <c r="BK10" s="618">
        <f>[51]A05!$C$186</f>
        <v>25</v>
      </c>
      <c r="BL10" s="618">
        <f>[52]A05!$C$186</f>
        <v>84</v>
      </c>
      <c r="BM10" s="618">
        <f>[53]A05!$C$186</f>
        <v>61</v>
      </c>
      <c r="BN10" s="618">
        <f>[54]A05!$C$186</f>
        <v>30</v>
      </c>
      <c r="BO10" s="618">
        <f>[55]A05!$C$186</f>
        <v>56</v>
      </c>
      <c r="BP10" s="618">
        <f>[56]A05!$C$186</f>
        <v>52</v>
      </c>
      <c r="BQ10" s="618">
        <f>[57]A05!$C$186</f>
        <v>64</v>
      </c>
      <c r="BR10" s="618">
        <f>[58]A05!$C$186</f>
        <v>64</v>
      </c>
      <c r="BS10" s="618">
        <f>[59]A05!$C$186</f>
        <v>41</v>
      </c>
      <c r="BT10" s="618">
        <f>[60]A05!$C$186</f>
        <v>0</v>
      </c>
      <c r="BU10" s="618">
        <f>[61]A05!$C$186</f>
        <v>0</v>
      </c>
      <c r="BV10" s="617">
        <f t="shared" si="6"/>
        <v>496</v>
      </c>
      <c r="BW10" s="254"/>
      <c r="BX10" s="608">
        <f>SUM([50]A05!$C$234,[50]A05!$AN$241,[50]A05!$AO$241,[50]A05!$AP$241)</f>
        <v>8</v>
      </c>
      <c r="BY10" s="608">
        <f>SUM([51]A05!$C$234,[51]A05!$AN$241,[51]A05!$AO$241,[51]A05!$AP$241)</f>
        <v>0</v>
      </c>
      <c r="BZ10" s="608">
        <f>SUM([52]A05!$C$234,[52]A05!$AN$241,[52]A05!$AO$241,[52]A05!$AP$241)</f>
        <v>0</v>
      </c>
      <c r="CA10" s="608">
        <f>SUM([53]A05!$C$234,[53]A05!$AN$241,[53]A05!$AO$241,[53]A05!$AP$241)</f>
        <v>0</v>
      </c>
      <c r="CB10" s="608">
        <f>SUM([54]A05!$C$234,[54]A05!$AN$241,[54]A05!$AO$241,[54]A05!$AP$241)</f>
        <v>4</v>
      </c>
      <c r="CC10" s="608">
        <f>SUM([55]A05!$C$234,[55]A05!$AN$241,[55]A05!$AO$241,[55]A05!$AP$241)</f>
        <v>4</v>
      </c>
      <c r="CD10" s="608">
        <f>SUM([56]A05!$C$234,[56]A05!$AN$241,[56]A05!$AO$241,[56]A05!$AP$241)</f>
        <v>8</v>
      </c>
      <c r="CE10" s="608">
        <f>SUM([57]A05!$C$234,[57]A05!$AN$241,[57]A05!$AO$241,[57]A05!$AP$241)</f>
        <v>0</v>
      </c>
      <c r="CF10" s="608">
        <f>SUM([58]A05!$C$234,[58]A05!$AN$241,[58]A05!$AO$241,[58]A05!$AP$241)</f>
        <v>13</v>
      </c>
      <c r="CG10" s="608">
        <f>SUM([59]A05!$C$234,[59]A05!$AN$241,[59]A05!$AO$241,[59]A05!$AP$241)</f>
        <v>49</v>
      </c>
      <c r="CH10" s="608">
        <f>SUM([60]A05!$C$234,[60]A05!$AN$241,[60]A05!$AO$241,[60]A05!$AP$241)</f>
        <v>0</v>
      </c>
      <c r="CI10" s="608">
        <f>SUM([61]A05!$C$234,[61]A05!$AN$241,[61]A05!$AO$241,[61]A05!$AP$241)</f>
        <v>0</v>
      </c>
      <c r="CJ10" s="260">
        <f t="shared" si="7"/>
        <v>86</v>
      </c>
      <c r="CK10" s="254"/>
      <c r="CL10" s="608">
        <f>SUM([50]A09!$G$12:$AB$12)</f>
        <v>97</v>
      </c>
      <c r="CM10" s="608">
        <f>SUM([51]A09!$G$12:$AB$12)</f>
        <v>105</v>
      </c>
      <c r="CN10" s="608">
        <f>SUM([52]A09!$G$12:$AB$12)</f>
        <v>59</v>
      </c>
      <c r="CO10" s="608">
        <f>SUM([53]A09!$G$12:$AB$12)</f>
        <v>95</v>
      </c>
      <c r="CP10" s="608">
        <f>SUM([54]A09!$G$12:$AB$12)</f>
        <v>129</v>
      </c>
      <c r="CQ10" s="608">
        <f>SUM([55]A09!$G$12:$AB$12)</f>
        <v>109</v>
      </c>
      <c r="CR10" s="608">
        <f>SUM([56]A09!$G$12:$AB$12)</f>
        <v>117</v>
      </c>
      <c r="CS10" s="608">
        <f>SUM([57]A09!$G$12:$AB$12)</f>
        <v>109</v>
      </c>
      <c r="CT10" s="608">
        <f>SUM([58]A09!$G$12:$AB$12)</f>
        <v>127</v>
      </c>
      <c r="CU10" s="608">
        <f>SUM([59]A09!$G$12:$AB$12)</f>
        <v>136</v>
      </c>
      <c r="CV10" s="608">
        <f>SUM([60]A09!$G$12:$AB$12)</f>
        <v>0</v>
      </c>
      <c r="CW10" s="608">
        <f>SUM([61]A09!$G$12:$AB$12)</f>
        <v>0</v>
      </c>
      <c r="CX10" s="260">
        <f t="shared" si="8"/>
        <v>1083</v>
      </c>
      <c r="CY10" s="254"/>
      <c r="CZ10" s="792">
        <f>SUM([50]A09!$G$48:$L$48)</f>
        <v>11</v>
      </c>
      <c r="DA10" s="792">
        <f>SUM([51]A09!$G$48:$L$48)</f>
        <v>9</v>
      </c>
      <c r="DB10" s="792">
        <f>SUM([52]A09!$G$48:$L$48)</f>
        <v>6</v>
      </c>
      <c r="DC10" s="792">
        <f>SUM([53]A09!$G$48:$L$48)</f>
        <v>14</v>
      </c>
      <c r="DD10" s="789">
        <f>SUM([54]A09!$G$48:$L$48)</f>
        <v>19</v>
      </c>
      <c r="DE10" s="792">
        <f>SUM([55]A09!$G$48:$L$48)</f>
        <v>7</v>
      </c>
      <c r="DF10" s="792">
        <f>SUM([56]A09!$G$48:$L$48)</f>
        <v>17</v>
      </c>
      <c r="DG10" s="792">
        <f>SUM([57]A09!$G$48:$L$48)</f>
        <v>17</v>
      </c>
      <c r="DH10" s="792">
        <f>SUM([58]A09!$G$48:$L$48)</f>
        <v>21</v>
      </c>
      <c r="DI10" s="792">
        <f>SUM([59]A09!$G$48:$L$48)</f>
        <v>16</v>
      </c>
      <c r="DJ10" s="792">
        <f>SUM([60]A09!$G$48:$L$48)</f>
        <v>0</v>
      </c>
      <c r="DK10" s="792">
        <f>SUM([61]A09!$G$48:$L$48)</f>
        <v>0</v>
      </c>
      <c r="DL10" s="465">
        <f t="shared" si="9"/>
        <v>137</v>
      </c>
      <c r="DM10" s="434">
        <f t="shared" ref="DM10" si="19">+EA10+EO10+FC10+FQ10+GE10</f>
        <v>0</v>
      </c>
      <c r="DN10" s="434">
        <f t="shared" si="0"/>
        <v>577</v>
      </c>
      <c r="DO10" s="434">
        <f t="shared" si="0"/>
        <v>335</v>
      </c>
      <c r="DP10" s="434">
        <f t="shared" si="0"/>
        <v>430</v>
      </c>
      <c r="DQ10" s="434">
        <f t="shared" si="0"/>
        <v>565</v>
      </c>
      <c r="DR10" s="434">
        <f t="shared" si="0"/>
        <v>520</v>
      </c>
      <c r="DS10" s="434">
        <f t="shared" si="0"/>
        <v>545</v>
      </c>
      <c r="DT10" s="434">
        <f t="shared" si="0"/>
        <v>606</v>
      </c>
      <c r="DU10" s="434">
        <f t="shared" si="0"/>
        <v>703</v>
      </c>
      <c r="DV10" s="434">
        <f t="shared" si="10"/>
        <v>635</v>
      </c>
      <c r="DW10" s="434">
        <f t="shared" si="11"/>
        <v>651</v>
      </c>
      <c r="DX10" s="434">
        <f t="shared" si="12"/>
        <v>0</v>
      </c>
      <c r="DY10" s="434">
        <f t="shared" si="1"/>
        <v>0</v>
      </c>
      <c r="DZ10" s="260">
        <f t="shared" si="13"/>
        <v>5567</v>
      </c>
      <c r="EA10" s="254"/>
      <c r="EB10" s="620">
        <f>SUM([50]A06!$C$22:$C$23,[50]A06!$E$32)</f>
        <v>499</v>
      </c>
      <c r="EC10" s="620">
        <f>SUM([51]A06!$C$22:$C$23,[51]A06!$E$32)</f>
        <v>230</v>
      </c>
      <c r="ED10" s="620">
        <f>SUM([52]A06!$C$22:$C$23,[52]A06!$E$32)</f>
        <v>351</v>
      </c>
      <c r="EE10" s="620">
        <f>SUM([53]A06!$C$22:$C$23,[53]A06!$E$32)</f>
        <v>433</v>
      </c>
      <c r="EF10" s="620">
        <f>SUM([54]A06!$C$22:$C$23,[54]A06!$E$32)</f>
        <v>447</v>
      </c>
      <c r="EG10" s="620">
        <f>SUM([55]A06!$C$22:$C$23,[55]A06!$E$32)</f>
        <v>455</v>
      </c>
      <c r="EH10" s="620">
        <f>SUM([56]A06!$C$22:$C$23,[56]A06!$E$32)</f>
        <v>522</v>
      </c>
      <c r="EI10" s="620">
        <f>SUM([57]A06!$C$22:$C$23,[57]A06!$E$32)</f>
        <v>613</v>
      </c>
      <c r="EJ10" s="620">
        <f>SUM([58]A06!$C$22:$C$23,[58]A06!$E$32)</f>
        <v>555</v>
      </c>
      <c r="EK10" s="620">
        <f>SUM([59]A06!$C$22:$C$23,[59]A06!$E$32)</f>
        <v>575</v>
      </c>
      <c r="EL10" s="620">
        <f>SUM([60]A06!$C$22:$C$23,[60]A06!$E$32)</f>
        <v>0</v>
      </c>
      <c r="EM10" s="620">
        <f>SUM([61]A06!$C$22:$C$23,[61]A06!$E$32)</f>
        <v>0</v>
      </c>
      <c r="EN10" s="260">
        <f t="shared" si="14"/>
        <v>4680</v>
      </c>
      <c r="EP10" s="621">
        <f>SUM([50]A19a!$C$97,$C$99)</f>
        <v>0</v>
      </c>
      <c r="EQ10" s="621">
        <f>SUM([51]A19a!$C$97,$C$99)</f>
        <v>0</v>
      </c>
      <c r="ER10" s="621">
        <f>SUM([52]A19a!$C$97,$C$99)</f>
        <v>0</v>
      </c>
      <c r="ES10" s="621">
        <f>SUM([53]A19a!$C$97,$C$99)</f>
        <v>0</v>
      </c>
      <c r="ET10" s="621">
        <f>SUM([54]A19a!$C$97,$C$99)</f>
        <v>0</v>
      </c>
      <c r="EU10" s="621">
        <f>SUM([55]A19a!$C$97,$C$99)</f>
        <v>0</v>
      </c>
      <c r="EV10" s="621">
        <f>SUM([56]A19a!$C$97,$C$99)</f>
        <v>0</v>
      </c>
      <c r="EW10" s="621">
        <f>SUM([57]A19a!$C$97,$C$99)</f>
        <v>0</v>
      </c>
      <c r="EX10" s="621">
        <f>SUM([58]A19a!$C$97,$C$99)</f>
        <v>0</v>
      </c>
      <c r="EY10" s="621">
        <f>SUM([59]A19a!$C$97,$C$99)</f>
        <v>0</v>
      </c>
      <c r="EZ10" s="621">
        <f>SUM([60]A19a!$C$97,$C$99)</f>
        <v>0</v>
      </c>
      <c r="FA10" s="621">
        <f>SUM([61]A19a!$C$97,$C$99)</f>
        <v>0</v>
      </c>
      <c r="FB10" s="260">
        <f t="shared" si="15"/>
        <v>0</v>
      </c>
      <c r="FD10" s="621">
        <f>SUM([50]A26!$C$30:$C$31,[50]A26!$C$38:$E$38)</f>
        <v>27</v>
      </c>
      <c r="FE10" s="621">
        <f>SUM([51]A26!$C$30:$C$31,[51]A26!$C$38:$E$38)</f>
        <v>5</v>
      </c>
      <c r="FF10" s="621">
        <f>SUM([52]A26!$C$30:$C$31,[52]A26!$C$38:$E$38)</f>
        <v>4</v>
      </c>
      <c r="FG10" s="621">
        <f>SUM([53]A26!$C$30:$C$31,[53]A26!$C$38:$E$38)</f>
        <v>6</v>
      </c>
      <c r="FH10" s="621">
        <f>SUM([54]A26!$C$30:$C$31,[54]A26!$C$38:$E$38)</f>
        <v>9</v>
      </c>
      <c r="FI10" s="621">
        <f>SUM([55]A26!$C$30:$C$31,[55]A26!$C$38:$E$38)</f>
        <v>0</v>
      </c>
      <c r="FJ10" s="621">
        <f>SUM([56]A26!$C$30:$C$31,[56]A26!$C$38:$E$38)</f>
        <v>4</v>
      </c>
      <c r="FK10" s="621">
        <f>SUM([57]A26!$C$30:$C$31,[57]A26!$C$38:$E$38)</f>
        <v>0</v>
      </c>
      <c r="FL10" s="621">
        <f>SUM([58]A26!$C$30:$C$31,[58]A26!$C$38:$E$38)</f>
        <v>1</v>
      </c>
      <c r="FM10" s="621">
        <f>SUM([59]A26!$C$30:$C$31,[59]A26!$C$38:$E$38)</f>
        <v>0</v>
      </c>
      <c r="FN10" s="621">
        <f>SUM([60]A26!$C$30:$C$31,[60]A26!$C$38:$E$38)</f>
        <v>0</v>
      </c>
      <c r="FO10" s="621">
        <f>SUM([61]A26!$C$30:$C$31,[61]A26!$C$38:$E$38)</f>
        <v>0</v>
      </c>
      <c r="FP10" s="260">
        <f t="shared" si="16"/>
        <v>56</v>
      </c>
      <c r="FR10" s="621">
        <f>SUM([50]A32!$B$127:$B$129,[50]A32!$C$144,[50]A32!$C$155)</f>
        <v>0</v>
      </c>
      <c r="FS10" s="621">
        <f>SUM([51]A32!$B$127:$B$129,[51]A32!$C$144,[51]A32!$C$155)</f>
        <v>0</v>
      </c>
      <c r="FT10" s="621">
        <f>SUM([52]A32!$B$127:$B$129,[52]A32!$C$144,[52]A32!$C$155)</f>
        <v>0</v>
      </c>
      <c r="FU10" s="621">
        <f>SUM([53]A32!$B$127:$B$129,[53]A32!$C$144,[53]A32!$C$155)</f>
        <v>0</v>
      </c>
      <c r="FV10" s="621">
        <f>SUM([54]A32!$B$127:$B$129,[54]A32!$C$144,[54]A32!$C$155)</f>
        <v>0</v>
      </c>
      <c r="FW10" s="621">
        <f>SUM([55]A32!$B$127:$B$129,[55]A32!$C$144,[55]A32!$C$155)</f>
        <v>0</v>
      </c>
      <c r="FX10" s="621">
        <f>SUM([56]A32!$B$127:$B$129,[56]A32!$C$144,[56]A32!$C$155)</f>
        <v>0</v>
      </c>
      <c r="FY10" s="621">
        <f>SUM([57]A32!$B$127:$B$129,[57]A32!$C$144,[57]A32!$C$155)</f>
        <v>0</v>
      </c>
      <c r="FZ10" s="621">
        <f>SUM([58]A32!$B$127:$B$129,[58]A32!$C$144,[58]A32!$C$155)</f>
        <v>0</v>
      </c>
      <c r="GA10" s="621">
        <f>SUM([59]A32!$B$127:$B$129,[59]A32!$C$144,[59]A32!$C$155)</f>
        <v>0</v>
      </c>
      <c r="GB10" s="621">
        <f>SUM([60]A32!$B$127:$B$129,[60]A32!$C$144,[60]A32!$C$155)</f>
        <v>0</v>
      </c>
      <c r="GC10" s="621">
        <f>SUM([61]A32!$B$127:$B$129,[61]A32!$C$144,[61]A32!$C$155)</f>
        <v>0</v>
      </c>
      <c r="GD10" s="260">
        <f t="shared" si="17"/>
        <v>0</v>
      </c>
      <c r="GF10" s="621">
        <f>SUM([50]A04!$B$24)</f>
        <v>51</v>
      </c>
      <c r="GG10" s="621">
        <f>SUM([51]A04!$B$24)</f>
        <v>100</v>
      </c>
      <c r="GH10" s="621">
        <f>SUM([52]A04!$B$24)</f>
        <v>75</v>
      </c>
      <c r="GI10" s="621">
        <f>SUM([53]A04!$B$24)</f>
        <v>126</v>
      </c>
      <c r="GJ10" s="621">
        <f>SUM([54]A04!$B$24)</f>
        <v>64</v>
      </c>
      <c r="GK10" s="621">
        <f>SUM([55]A04!$B$24)</f>
        <v>90</v>
      </c>
      <c r="GL10" s="621">
        <f>SUM([56]A04!$B$24)</f>
        <v>80</v>
      </c>
      <c r="GM10" s="621">
        <f>SUM([57]A04!$B$24)</f>
        <v>90</v>
      </c>
      <c r="GN10" s="621">
        <f>SUM([58]A04!$B$24)</f>
        <v>79</v>
      </c>
      <c r="GO10" s="621">
        <f>SUM([59]A04!$B$24)</f>
        <v>76</v>
      </c>
      <c r="GP10" s="621">
        <f>SUM([60]A04!$B$24)</f>
        <v>0</v>
      </c>
      <c r="GQ10" s="621">
        <f>SUM([61]A04!$B$24)</f>
        <v>0</v>
      </c>
      <c r="GR10" s="260">
        <f t="shared" si="18"/>
        <v>831</v>
      </c>
    </row>
    <row r="11" spans="2:200" x14ac:dyDescent="0.2">
      <c r="B11" s="148">
        <v>107400</v>
      </c>
      <c r="C11" s="149" t="s">
        <v>100</v>
      </c>
      <c r="D11" s="246"/>
      <c r="E11" s="618">
        <f>SUM([62]A05!$H$114,[62]A05!$J$114,[62]A05!$L$114,[62]A05!$N$114,[62]A05!$P$114,[62]A05!$R$114,[62]A05!$T$114,[62]A05!$V$114,[62]A05!$X$114)</f>
        <v>0</v>
      </c>
      <c r="F11" s="618">
        <f>SUM([63]A05!$H$114,[63]A05!$J$114,[63]A05!$L$114,[63]A05!$N$114,[63]A05!$P$114,[63]A05!$R$114,[63]A05!$T$114,[63]A05!$V$114,[63]A05!$X$114)</f>
        <v>0</v>
      </c>
      <c r="G11" s="618">
        <f>SUM([64]A05!$H$114,[64]A05!$J$114,[64]A05!$L$114,[64]A05!$N$114,[64]A05!$P$114,[64]A05!$R$114,[64]A05!$T$114,[64]A05!$V$114,[64]A05!$X$114)</f>
        <v>3</v>
      </c>
      <c r="H11" s="618">
        <f>SUM([65]A05!$H$114,[65]A05!$J$114,[65]A05!$L$114,[65]A05!$N$114,[65]A05!$P$114,[65]A05!$R$114,[65]A05!$T$114,[65]A05!$V$114,[65]A05!$X$114)</f>
        <v>0</v>
      </c>
      <c r="I11" s="618">
        <f>SUM([66]A05!$H$114,[66]A05!$J$114,[66]A05!$L$114,[66]A05!$N$114,[66]A05!$P$114,[66]A05!$R$114,[66]A05!$T$114,[66]A05!$V$114,[66]A05!$X$114)</f>
        <v>0</v>
      </c>
      <c r="J11" s="618">
        <f>SUM([67]A05!$H$114,[67]A05!$J$114,[67]A05!$L$114,[67]A05!$N$114,[67]A05!$P$114,[67]A05!$R$114,[67]A05!$T$114,[67]A05!$V$114,[67]A05!$X$114)</f>
        <v>2</v>
      </c>
      <c r="K11" s="618">
        <f>SUM([68]A05!$H$114,[68]A05!$J$114,[68]A05!$L$114,[68]A05!$N$114,[68]A05!$P$114,[68]A05!$R$114,[68]A05!$T$114,[68]A05!$V$114,[68]A05!$X$114)</f>
        <v>0</v>
      </c>
      <c r="L11" s="618">
        <f>SUM([69]A05!$H$114,[69]A05!$J$114,[69]A05!$L$114,[69]A05!$N$114,[69]A05!$P$114,[69]A05!$R$114,[69]A05!$T$114,[69]A05!$V$114,[69]A05!$X$114)</f>
        <v>0</v>
      </c>
      <c r="M11" s="618">
        <f>SUM([70]A05!$H$114,[70]A05!$J$114,[70]A05!$L$114,[70]A05!$N$114,[70]A05!$P$114,[70]A05!$R$114,[70]A05!$T$114,[70]A05!$V$114,[70]A05!$X$114)</f>
        <v>0</v>
      </c>
      <c r="N11" s="618">
        <f>SUM([71]A05!$H$114,[71]A05!$J$114,[71]A05!$L$114,[71]A05!$N$114,[71]A05!$P$114,[71]A05!$R$114,[71]A05!$T$114,[71]A05!$V$114,[71]A05!$X$114)</f>
        <v>0</v>
      </c>
      <c r="O11" s="618">
        <f>SUM([72]A05!$H$114,[72]A05!$J$114,[72]A05!$L$114,[72]A05!$N$114,[72]A05!$P$114,[72]A05!$R$114,[72]A05!$T$114,[72]A05!$V$114,[72]A05!$X$114)</f>
        <v>0</v>
      </c>
      <c r="P11" s="618">
        <f>SUM([73]A05!$H$114,[73]A05!$J$114,[73]A05!$L$114,[73]A05!$N$114,[73]A05!$P$114,[73]A05!$R$114,[73]A05!$T$114,[73]A05!$V$114,[73]A05!$X$114)</f>
        <v>0</v>
      </c>
      <c r="Q11" s="617">
        <f t="shared" si="2"/>
        <v>5</v>
      </c>
      <c r="R11" s="246"/>
      <c r="S11" s="618">
        <f>SUM([62]A05!$I$114,[62]A05!$K$114,[62]A05!$M$114,[62]A05!$O$114,[62]A05!$Q$114,[62]A05!$S$114,[62]A05!$U$114,[62]A05!$W$114,[62]A05!$Y$114)</f>
        <v>0</v>
      </c>
      <c r="T11" s="618">
        <f>SUM([63]A05!$I$114,[63]A05!$K$114,[63]A05!$M$114,[63]A05!$O$114,[63]A05!$Q$114,[63]A05!$S$114,[63]A05!$U$114,[63]A05!$W$114,[63]A05!$Y$114)</f>
        <v>0</v>
      </c>
      <c r="U11" s="618">
        <f>SUM([64]A05!$I$114,[64]A05!$K$114,[64]A05!$M$114,[64]A05!$O$114,[64]A05!$Q$114,[64]A05!$S$114,[64]A05!$U$114,[64]A05!$W$114,[64]A05!$Y$114)</f>
        <v>0</v>
      </c>
      <c r="V11" s="618">
        <f>SUM([65]A05!$I$114,[65]A05!$K$114,[65]A05!$M$114,[65]A05!$O$114,[65]A05!$Q$114,[65]A05!$S$114,[65]A05!$U$114,[65]A05!$W$114,[65]A05!$Y$114)</f>
        <v>0</v>
      </c>
      <c r="W11" s="618">
        <f>SUM([66]A05!$I$114,[66]A05!$K$114,[66]A05!$M$114,[66]A05!$O$114,[66]A05!$Q$114,[66]A05!$S$114,[66]A05!$U$114,[66]A05!$W$114,[66]A05!$Y$114)</f>
        <v>0</v>
      </c>
      <c r="X11" s="618">
        <f>SUM([67]A05!$I$114,[67]A05!$K$114,[67]A05!$M$114,[67]A05!$O$114,[67]A05!$Q$114,[67]A05!$S$114,[67]A05!$U$114,[67]A05!$W$114,[67]A05!$Y$114)</f>
        <v>0</v>
      </c>
      <c r="Y11" s="618">
        <f>SUM([68]A05!$I$114,[68]A05!$K$114,[68]A05!$M$114,[68]A05!$O$114,[68]A05!$Q$114,[68]A05!$S$114,[68]A05!$U$114,[68]A05!$W$114,[68]A05!$Y$114)</f>
        <v>0</v>
      </c>
      <c r="Z11" s="618">
        <f>SUM([69]A05!$I$114,[69]A05!$K$114,[69]A05!$M$114,[69]A05!$O$114,[69]A05!$Q$114,[69]A05!$S$114,[69]A05!$U$114,[69]A05!$W$114,[69]A05!$Y$114)</f>
        <v>0</v>
      </c>
      <c r="AA11" s="618">
        <f>SUM([70]A05!$I$114,[70]A05!$K$114,[70]A05!$M$114,[70]A05!$O$114,[70]A05!$Q$114,[70]A05!$S$114,[70]A05!$U$114,[70]A05!$W$114,[70]A05!$Y$114)</f>
        <v>0</v>
      </c>
      <c r="AB11" s="618">
        <f>SUM([71]A05!$I$114,[71]A05!$K$114,[71]A05!$M$114,[71]A05!$O$114,[71]A05!$Q$114,[71]A05!$S$114,[71]A05!$U$114,[71]A05!$W$114,[71]A05!$Y$114)</f>
        <v>0</v>
      </c>
      <c r="AC11" s="618">
        <f>SUM([72]A05!$I$114,[72]A05!$K$114,[72]A05!$M$114,[72]A05!$O$114,[72]A05!$Q$114,[72]A05!$S$114,[72]A05!$U$114,[72]A05!$W$114,[72]A05!$Y$114)</f>
        <v>0</v>
      </c>
      <c r="AD11" s="618">
        <f>SUM([73]A05!$I$114,[73]A05!$K$114,[73]A05!$M$114,[73]A05!$O$114,[73]A05!$Q$114,[73]A05!$S$114,[73]A05!$U$114,[73]A05!$W$114,[73]A05!$Y$114)</f>
        <v>0</v>
      </c>
      <c r="AE11" s="617">
        <f t="shared" si="3"/>
        <v>0</v>
      </c>
      <c r="AF11" s="246"/>
      <c r="AG11" s="246"/>
      <c r="AH11" s="618">
        <f>SUM([62]A05!$H$127,[62]A05!$J$127,[62]A05!$L$127,[62]A05!$N$127,[62]A05!$P$127,[62]A05!$R$127,[62]A05!$T$127,[62]A05!$V$127,[62]A05!$X$127)</f>
        <v>0</v>
      </c>
      <c r="AI11" s="618">
        <f>SUM([63]A05!$H$127,[63]A05!$J$127,[63]A05!$L$127,[63]A05!$N$127,[63]A05!$P$127,[63]A05!$R$127,[63]A05!$T$127,[63]A05!$V$127,[63]A05!$X$127)</f>
        <v>0</v>
      </c>
      <c r="AJ11" s="618">
        <f>SUM([64]A05!$H$127,[64]A05!$J$127,[64]A05!$L$127,[64]A05!$N$127,[64]A05!$P$127,[64]A05!$R$127,[64]A05!$T$127,[64]A05!$V$127,[64]A05!$X$127)</f>
        <v>0</v>
      </c>
      <c r="AK11" s="618">
        <f>SUM([65]A05!$H$127,[65]A05!$J$127,[65]A05!$L$127,[65]A05!$N$127,[65]A05!$P$127,[65]A05!$R$127,[65]A05!$T$127,[65]A05!$V$127,[65]A05!$X$127)</f>
        <v>0</v>
      </c>
      <c r="AL11" s="618">
        <f>SUM([66]A05!$H$127,[66]A05!$J$127,[66]A05!$L$127,[66]A05!$N$127,[66]A05!$P$127,[66]A05!$R$127,[66]A05!$T$127,[66]A05!$V$127,[66]A05!$X$127)</f>
        <v>0</v>
      </c>
      <c r="AM11" s="618">
        <f>SUM([67]A05!$H$127,[67]A05!$J$127,[67]A05!$L$127,[67]A05!$N$127,[67]A05!$P$127,[67]A05!$R$127,[67]A05!$T$127,[67]A05!$V$127,[67]A05!$X$127)</f>
        <v>0</v>
      </c>
      <c r="AN11" s="618">
        <f>SUM([68]A05!$H$127,[68]A05!$J$127,[68]A05!$L$127,[68]A05!$N$127,[68]A05!$P$127,[68]A05!$R$127,[68]A05!$T$127,[68]A05!$V$127,[68]A05!$X$127)</f>
        <v>0</v>
      </c>
      <c r="AO11" s="618">
        <f>SUM([69]A05!$H$127,[69]A05!$J$127,[69]A05!$L$127,[69]A05!$N$127,[69]A05!$P$127,[69]A05!$R$127,[69]A05!$T$127,[69]A05!$V$127,[69]A05!$X$127)</f>
        <v>0</v>
      </c>
      <c r="AP11" s="618">
        <f>SUM([70]A05!$H$127,[70]A05!$J$127,[70]A05!$L$127,[70]A05!$N$127,[70]A05!$P$127,[70]A05!$R$127,[70]A05!$T$127,[70]A05!$V$127,[70]A05!$X$127)</f>
        <v>0</v>
      </c>
      <c r="AQ11" s="618">
        <f>SUM([71]A05!$H$127,[71]A05!$J$127,[71]A05!$L$127,[71]A05!$N$127,[71]A05!$P$127,[71]A05!$R$127,[71]A05!$T$127,[71]A05!$V$127,[71]A05!$X$127)</f>
        <v>0</v>
      </c>
      <c r="AR11" s="618">
        <f>SUM([72]A05!$H$127,[72]A05!$J$127,[72]A05!$L$127,[72]A05!$N$127,[72]A05!$P$127,[72]A05!$R$127,[72]A05!$T$127,[72]A05!$V$127,[72]A05!$X$127)</f>
        <v>0</v>
      </c>
      <c r="AS11" s="618">
        <f>SUM([73]A05!$H$127,[73]A05!$J$127,[73]A05!$L$127,[73]A05!$N$127,[73]A05!$P$127,[73]A05!$R$127,[73]A05!$T$127,[73]A05!$V$127,[73]A05!$X$127)</f>
        <v>0</v>
      </c>
      <c r="AT11" s="617">
        <f t="shared" si="4"/>
        <v>0</v>
      </c>
      <c r="AU11" s="254"/>
      <c r="AV11" s="618">
        <f>SUM([62]A05!$I$127,[62]A05!$K$127,[62]A05!$M$127,[62]A05!$O$127,[62]A05!$Q$127,[62]A05!$S$127,[62]A05!$U$127,[62]A05!$W$127,[62]A05!$Y$127)</f>
        <v>0</v>
      </c>
      <c r="AW11" s="618">
        <f>SUM([63]A05!$I$127,[63]A05!$K$127,[63]A05!$M$127,[63]A05!$O$127,[63]A05!$Q$127,[63]A05!$S$127,[63]A05!$U$127,[63]A05!$W$127,[63]A05!$Y$127)</f>
        <v>0</v>
      </c>
      <c r="AX11" s="618">
        <f>SUM([64]A05!$I$127,[64]A05!$K$127,[64]A05!$M$127,[64]A05!$O$127,[64]A05!$Q$127,[64]A05!$S$127,[64]A05!$U$127,[64]A05!$W$127,[64]A05!$Y$127)</f>
        <v>0</v>
      </c>
      <c r="AY11" s="618">
        <f>SUM([65]A05!$I$127,[65]A05!$K$127,[65]A05!$M$127,[65]A05!$O$127,[65]A05!$Q$127,[65]A05!$S$127,[65]A05!$U$127,[65]A05!$W$127,[65]A05!$Y$127)</f>
        <v>0</v>
      </c>
      <c r="AZ11" s="618">
        <f>SUM([66]A05!$I$127,[66]A05!$K$127,[66]A05!$M$127,[66]A05!$O$127,[66]A05!$Q$127,[66]A05!$S$127,[66]A05!$U$127,[66]A05!$W$127,[66]A05!$Y$127)</f>
        <v>0</v>
      </c>
      <c r="BA11" s="618">
        <f>SUM([67]A05!$I$127,[67]A05!$K$127,[67]A05!$M$127,[67]A05!$O$127,[67]A05!$Q$127,[67]A05!$S$127,[67]A05!$U$127,[67]A05!$W$127,[67]A05!$Y$127)</f>
        <v>0</v>
      </c>
      <c r="BB11" s="618">
        <f>SUM([68]A05!$I$127,[68]A05!$K$127,[68]A05!$M$127,[68]A05!$O$127,[68]A05!$Q$127,[68]A05!$S$127,[68]A05!$U$127,[68]A05!$W$127,[68]A05!$Y$127)</f>
        <v>0</v>
      </c>
      <c r="BC11" s="618">
        <f>SUM([69]A05!$I$127,[69]A05!$K$127,[69]A05!$M$127,[69]A05!$O$127,[69]A05!$Q$127,[69]A05!$S$127,[69]A05!$U$127,[69]A05!$W$127,[69]A05!$Y$127)</f>
        <v>0</v>
      </c>
      <c r="BD11" s="618">
        <f>SUM([70]A05!$I$127,[70]A05!$K$127,[70]A05!$M$127,[70]A05!$O$127,[70]A05!$Q$127,[70]A05!$S$127,[70]A05!$U$127,[70]A05!$W$127,[70]A05!$Y$127)</f>
        <v>0</v>
      </c>
      <c r="BE11" s="618">
        <f>SUM([71]A05!$I$127,[71]A05!$K$127,[71]A05!$M$127,[71]A05!$O$127,[71]A05!$Q$127,[71]A05!$S$127,[71]A05!$U$127,[71]A05!$W$127,[71]A05!$Y$127)</f>
        <v>0</v>
      </c>
      <c r="BF11" s="618">
        <f>SUM([72]A05!$I$127,[72]A05!$K$127,[72]A05!$M$127,[72]A05!$O$127,[72]A05!$Q$127,[72]A05!$S$127,[72]A05!$U$127,[72]A05!$W$127,[72]A05!$Y$127)</f>
        <v>0</v>
      </c>
      <c r="BG11" s="618">
        <f>SUM([73]A05!$I$127,[73]A05!$K$127,[73]A05!$M$127,[73]A05!$O$127,[73]A05!$Q$127,[73]A05!$S$127,[73]A05!$U$127,[73]A05!$W$127,[73]A05!$Y$127)</f>
        <v>0</v>
      </c>
      <c r="BH11" s="617">
        <f t="shared" si="5"/>
        <v>0</v>
      </c>
      <c r="BI11" s="254"/>
      <c r="BJ11" s="618">
        <f>[62]A05!$C$186</f>
        <v>1</v>
      </c>
      <c r="BK11" s="618">
        <f>[63]A05!$C$186</f>
        <v>0</v>
      </c>
      <c r="BL11" s="618">
        <f>[64]A05!$C$186</f>
        <v>1</v>
      </c>
      <c r="BM11" s="618">
        <f>[65]A05!$C$186</f>
        <v>1</v>
      </c>
      <c r="BN11" s="618">
        <f>[66]A05!$C$186</f>
        <v>0</v>
      </c>
      <c r="BO11" s="618">
        <f>[67]A05!$C$186</f>
        <v>1</v>
      </c>
      <c r="BP11" s="618">
        <f>[68]A05!$C$186</f>
        <v>4</v>
      </c>
      <c r="BQ11" s="618">
        <f>[69]A05!$C$186</f>
        <v>1</v>
      </c>
      <c r="BR11" s="618">
        <f>[70]A05!$C$186</f>
        <v>0</v>
      </c>
      <c r="BS11" s="618">
        <f>[71]A05!$C$186</f>
        <v>0</v>
      </c>
      <c r="BT11" s="618">
        <f>[72]A05!$C$186</f>
        <v>0</v>
      </c>
      <c r="BU11" s="618">
        <f>[73]A05!$C$186</f>
        <v>0</v>
      </c>
      <c r="BV11" s="617">
        <f t="shared" si="6"/>
        <v>9</v>
      </c>
      <c r="BW11" s="254"/>
      <c r="BX11" s="608">
        <f>SUM([62]A05!$C$234,[62]A05!$AN$241,[62]A05!$AO$241,[62]A05!$AP$241)</f>
        <v>2</v>
      </c>
      <c r="BY11" s="608">
        <f>SUM([63]A05!$C$234,[63]A05!$AN$241,[63]A05!$AO$241,[63]A05!$AP$241)</f>
        <v>0</v>
      </c>
      <c r="BZ11" s="608">
        <f>SUM([64]A05!$C$234,[64]A05!$AN$241,[64]A05!$AO$241,[64]A05!$AP$241)</f>
        <v>1</v>
      </c>
      <c r="CA11" s="608">
        <f>SUM([65]A05!$C$234,[65]A05!$AN$241,[65]A05!$AO$241,[65]A05!$AP$241)</f>
        <v>1</v>
      </c>
      <c r="CB11" s="608">
        <f>SUM([66]A05!$C$234,[66]A05!$AN$241,[66]A05!$AO$241,[66]A05!$AP$241)</f>
        <v>3</v>
      </c>
      <c r="CC11" s="608">
        <f>SUM([67]A05!$C$234,[67]A05!$AN$241,[67]A05!$AO$241,[67]A05!$AP$241)</f>
        <v>1</v>
      </c>
      <c r="CD11" s="608">
        <f>SUM([68]A05!$C$234,[68]A05!$AN$241,[68]A05!$AO$241,[68]A05!$AP$241)</f>
        <v>1</v>
      </c>
      <c r="CE11" s="608">
        <f>SUM([69]A05!$C$234,[69]A05!$AN$241,[69]A05!$AO$241,[69]A05!$AP$241)</f>
        <v>0</v>
      </c>
      <c r="CF11" s="608">
        <f>SUM([70]A05!$C$234,[70]A05!$AN$241,[70]A05!$AO$241,[70]A05!$AP$241)</f>
        <v>0</v>
      </c>
      <c r="CG11" s="608">
        <f>SUM([71]A05!$C$234,[71]A05!$AN$241,[71]A05!$AO$241,[71]A05!$AP$241)</f>
        <v>0</v>
      </c>
      <c r="CH11" s="608">
        <f>SUM([72]A05!$C$234,[72]A05!$AN$241,[72]A05!$AO$241,[72]A05!$AP$241)</f>
        <v>0</v>
      </c>
      <c r="CI11" s="608">
        <f>SUM([73]A05!$C$234,[73]A05!$AN$241,[73]A05!$AO$241,[73]A05!$AP$241)</f>
        <v>0</v>
      </c>
      <c r="CJ11" s="260">
        <f t="shared" si="7"/>
        <v>9</v>
      </c>
      <c r="CK11" s="254"/>
      <c r="CL11" s="608">
        <f>SUM([62]A09!$G$12:$AB$12)</f>
        <v>10</v>
      </c>
      <c r="CM11" s="608">
        <f>SUM([63]A09!$G$12:$AB$12)</f>
        <v>10</v>
      </c>
      <c r="CN11" s="608">
        <f>SUM([64]A09!$G$12:$AB$12)</f>
        <v>8</v>
      </c>
      <c r="CO11" s="608">
        <f>SUM([65]A09!$G$12:$AB$12)</f>
        <v>6</v>
      </c>
      <c r="CP11" s="608">
        <f>SUM([66]A09!$G$12:$AB$12)</f>
        <v>3</v>
      </c>
      <c r="CQ11" s="608">
        <f>SUM([67]A09!$G$12:$AB$12)</f>
        <v>2</v>
      </c>
      <c r="CR11" s="608">
        <f>SUM([68]A09!$G$12:$AB$12)</f>
        <v>0</v>
      </c>
      <c r="CS11" s="608">
        <f>SUM([69]A09!$G$12:$AB$12)</f>
        <v>3</v>
      </c>
      <c r="CT11" s="608">
        <f>SUM([70]A09!$G$12:$AB$12)</f>
        <v>0</v>
      </c>
      <c r="CU11" s="608">
        <f>SUM([71]A09!$G$12:$AB$12)</f>
        <v>266</v>
      </c>
      <c r="CV11" s="608">
        <f>SUM([72]A09!$G$12:$AB$12)</f>
        <v>0</v>
      </c>
      <c r="CW11" s="608">
        <f>SUM([73]A09!$G$12:$AB$12)</f>
        <v>0</v>
      </c>
      <c r="CX11" s="260">
        <f t="shared" si="8"/>
        <v>308</v>
      </c>
      <c r="CY11" s="254"/>
      <c r="CZ11" s="608">
        <f>SUM([62]A09!$G$48:$L$48)</f>
        <v>0</v>
      </c>
      <c r="DA11" s="608">
        <f>SUM([63]A09!$G$48:$L$48)</f>
        <v>0</v>
      </c>
      <c r="DB11" s="608">
        <f>SUM([64]A09!$G$48:$L$48)</f>
        <v>1</v>
      </c>
      <c r="DC11" s="608">
        <f>SUM([65]A09!$G$48:$L$48)</f>
        <v>1</v>
      </c>
      <c r="DD11" s="608">
        <f>SUM([66]A09!$G$48:$L$48)</f>
        <v>0</v>
      </c>
      <c r="DE11" s="608">
        <f>SUM([67]A09!$G$48:$L$48)</f>
        <v>0</v>
      </c>
      <c r="DF11" s="608">
        <f>SUM([68]A09!$G$48:$L$48)</f>
        <v>0</v>
      </c>
      <c r="DG11" s="608">
        <f>SUM([69]A09!$G$48:$L$48)</f>
        <v>0</v>
      </c>
      <c r="DH11" s="608">
        <f>SUM([70]A09!$G$48:$L$48)</f>
        <v>0</v>
      </c>
      <c r="DI11" s="608">
        <f>SUM([71]A09!$G$48:$L$48)</f>
        <v>25</v>
      </c>
      <c r="DJ11" s="608">
        <f>SUM([72]A09!$G$48:$L$48)</f>
        <v>0</v>
      </c>
      <c r="DK11" s="608">
        <f>SUM([73]A09!$G$48:$L$48)</f>
        <v>0</v>
      </c>
      <c r="DL11" s="260">
        <f t="shared" si="9"/>
        <v>27</v>
      </c>
      <c r="DM11" s="285"/>
      <c r="DN11" s="434">
        <f t="shared" si="0"/>
        <v>23</v>
      </c>
      <c r="DO11" s="434">
        <f t="shared" si="0"/>
        <v>8</v>
      </c>
      <c r="DP11" s="434">
        <f t="shared" si="0"/>
        <v>26</v>
      </c>
      <c r="DQ11" s="434">
        <f t="shared" si="0"/>
        <v>17</v>
      </c>
      <c r="DR11" s="434">
        <f t="shared" si="0"/>
        <v>18</v>
      </c>
      <c r="DS11" s="434">
        <f t="shared" si="0"/>
        <v>9</v>
      </c>
      <c r="DT11" s="434">
        <f t="shared" si="0"/>
        <v>21</v>
      </c>
      <c r="DU11" s="434">
        <f t="shared" si="0"/>
        <v>42</v>
      </c>
      <c r="DV11" s="434">
        <f t="shared" si="10"/>
        <v>18</v>
      </c>
      <c r="DW11" s="434">
        <f t="shared" si="11"/>
        <v>8</v>
      </c>
      <c r="DX11" s="434">
        <f t="shared" si="12"/>
        <v>0</v>
      </c>
      <c r="DY11" s="434">
        <f t="shared" si="1"/>
        <v>0</v>
      </c>
      <c r="DZ11" s="260">
        <f t="shared" si="13"/>
        <v>190</v>
      </c>
      <c r="EA11" s="254"/>
      <c r="EB11" s="620">
        <f>SUM([62]A06!$C$22:$C$23,[62]A06!$E$32)</f>
        <v>19</v>
      </c>
      <c r="EC11" s="620">
        <f>SUM([63]A06!$C$22:$C$23,[63]A06!$E$32)</f>
        <v>0</v>
      </c>
      <c r="ED11" s="620">
        <f>SUM([64]A06!$C$22:$C$23,[64]A06!$E$32)</f>
        <v>23</v>
      </c>
      <c r="EE11" s="620">
        <f>SUM([65]A06!$C$22:$C$23,[65]A06!$E$32)</f>
        <v>12</v>
      </c>
      <c r="EF11" s="620">
        <f>SUM([66]A06!$C$22:$C$23,[66]A06!$E$32)</f>
        <v>17</v>
      </c>
      <c r="EG11" s="620">
        <f>SUM([67]A06!$C$22:$C$23,[67]A06!$E$32)</f>
        <v>8</v>
      </c>
      <c r="EH11" s="620">
        <f>SUM([68]A06!$C$22:$C$23,[68]A06!$E$32)</f>
        <v>21</v>
      </c>
      <c r="EI11" s="620">
        <f>SUM([69]A06!$C$22:$C$23,[69]A06!$E$32)</f>
        <v>21</v>
      </c>
      <c r="EJ11" s="620">
        <f>SUM([70]A06!$C$22:$C$23,[70]A06!$E$32)</f>
        <v>16</v>
      </c>
      <c r="EK11" s="620">
        <f>SUM([71]A06!$C$22:$C$23,[71]A06!$E$32)</f>
        <v>0</v>
      </c>
      <c r="EL11" s="620">
        <f>SUM([72]A06!$C$22:$C$23,[72]A06!$E$32)</f>
        <v>0</v>
      </c>
      <c r="EM11" s="620">
        <f>SUM([73]A06!$C$22:$C$23,[73]A06!$E$32)</f>
        <v>0</v>
      </c>
      <c r="EN11" s="260">
        <f t="shared" si="14"/>
        <v>137</v>
      </c>
      <c r="EP11" s="621">
        <f>SUM([62]A19a!$C$97,$C$99)</f>
        <v>0</v>
      </c>
      <c r="EQ11" s="621">
        <f>SUM([63]A19a!$C$97,$C$99)</f>
        <v>0</v>
      </c>
      <c r="ER11" s="621">
        <f>SUM([64]A19a!$C$97,$C$99)</f>
        <v>0</v>
      </c>
      <c r="ES11" s="621">
        <f>SUM([65]A19a!$C$97,$C$99)</f>
        <v>0</v>
      </c>
      <c r="ET11" s="621">
        <f>SUM([66]A19a!$C$97,$C$99)</f>
        <v>0</v>
      </c>
      <c r="EU11" s="621">
        <f>SUM([67]A19a!$C$97,$C$99)</f>
        <v>0</v>
      </c>
      <c r="EV11" s="621">
        <f>SUM([68]A19a!$C$97,$C$99)</f>
        <v>0</v>
      </c>
      <c r="EW11" s="621">
        <f>SUM([69]A19a!$C$97,$C$99)</f>
        <v>0</v>
      </c>
      <c r="EX11" s="621">
        <f>SUM([70]A19a!$C$97,$C$99)</f>
        <v>0</v>
      </c>
      <c r="EY11" s="621">
        <f>SUM([71]A19a!$C$97,$C$99)</f>
        <v>0</v>
      </c>
      <c r="EZ11" s="621">
        <f>SUM([72]A19a!$C$97,$C$99)</f>
        <v>0</v>
      </c>
      <c r="FA11" s="621">
        <f>SUM([73]A19a!$C$97,$C$99)</f>
        <v>0</v>
      </c>
      <c r="FB11" s="260">
        <f t="shared" si="15"/>
        <v>0</v>
      </c>
      <c r="FD11" s="621">
        <f>SUM([62]A26!$C$30:$C$31,[62]A26!$C$38:$E$38)</f>
        <v>2</v>
      </c>
      <c r="FE11" s="621">
        <f>SUM([63]A26!$C$30:$C$31,[63]A26!$C$38:$E$38)</f>
        <v>0</v>
      </c>
      <c r="FF11" s="621">
        <f>SUM([64]A26!$C$30:$C$31,[64]A26!$C$38:$E$38)</f>
        <v>1</v>
      </c>
      <c r="FG11" s="621">
        <f>SUM([65]A26!$C$30:$C$31,[65]A26!$C$38:$E$38)</f>
        <v>3</v>
      </c>
      <c r="FH11" s="621">
        <f>SUM([66]A26!$C$30:$C$31,[66]A26!$C$38:$E$38)</f>
        <v>0</v>
      </c>
      <c r="FI11" s="621">
        <f>SUM([67]A26!$C$30:$C$31,[67]A26!$C$38:$E$38)</f>
        <v>0</v>
      </c>
      <c r="FJ11" s="621">
        <f>SUM([68]A26!$C$30:$C$31,[68]A26!$C$38:$E$38)</f>
        <v>0</v>
      </c>
      <c r="FK11" s="621">
        <f>SUM([69]A26!$C$30:$C$31,[69]A26!$C$38:$E$38)</f>
        <v>2</v>
      </c>
      <c r="FL11" s="621">
        <f>SUM([70]A26!$C$30:$C$31,[70]A26!$C$38:$E$38)</f>
        <v>0</v>
      </c>
      <c r="FM11" s="621">
        <f>SUM([71]A26!$C$30:$C$31,[71]A26!$C$38:$E$38)</f>
        <v>0</v>
      </c>
      <c r="FN11" s="621">
        <f>SUM([72]A26!$C$30:$C$31,[72]A26!$C$38:$E$38)</f>
        <v>0</v>
      </c>
      <c r="FO11" s="621">
        <f>SUM([73]A26!$C$30:$C$31,[73]A26!$C$38:$E$38)</f>
        <v>0</v>
      </c>
      <c r="FP11" s="260">
        <f t="shared" si="16"/>
        <v>8</v>
      </c>
      <c r="FR11" s="621">
        <f>SUM([62]A32!$B$127:$B$129,[62]A32!$C$144,[62]A32!$C$155)</f>
        <v>0</v>
      </c>
      <c r="FS11" s="621">
        <f>SUM([63]A32!$B$127:$B$129,[63]A32!$C$144,[63]A32!$C$155)</f>
        <v>0</v>
      </c>
      <c r="FT11" s="621">
        <f>SUM([64]A32!$B$127:$B$129,[64]A32!$C$144,[64]A32!$C$155)</f>
        <v>0</v>
      </c>
      <c r="FU11" s="621">
        <f>SUM([65]A32!$B$127:$B$129,[65]A32!$C$144,[65]A32!$C$155)</f>
        <v>0</v>
      </c>
      <c r="FV11" s="621">
        <f>SUM([66]A32!$B$127:$B$129,[66]A32!$C$144,[66]A32!$C$155)</f>
        <v>0</v>
      </c>
      <c r="FW11" s="621">
        <f>SUM([67]A32!$B$127:$B$129,[67]A32!$C$144,[67]A32!$C$155)</f>
        <v>0</v>
      </c>
      <c r="FX11" s="621">
        <f>SUM([68]A32!$B$127:$B$129,[68]A32!$C$144,[68]A32!$C$155)</f>
        <v>0</v>
      </c>
      <c r="FY11" s="621">
        <f>SUM([69]A32!$B$127:$B$129,[69]A32!$C$144,[69]A32!$C$155)</f>
        <v>0</v>
      </c>
      <c r="FZ11" s="621">
        <f>SUM([70]A32!$B$127:$B$129,[70]A32!$C$144,[70]A32!$C$155)</f>
        <v>0</v>
      </c>
      <c r="GA11" s="621">
        <f>SUM([71]A32!$B$127:$B$129,[71]A32!$C$144,[71]A32!$C$155)</f>
        <v>0</v>
      </c>
      <c r="GB11" s="621">
        <f>SUM([72]A32!$B$127:$B$129,[72]A32!$C$144,[72]A32!$C$155)</f>
        <v>0</v>
      </c>
      <c r="GC11" s="621">
        <f>SUM([73]A32!$B$127:$B$129,[73]A32!$C$144,[73]A32!$C$155)</f>
        <v>0</v>
      </c>
      <c r="GD11" s="260">
        <f t="shared" si="17"/>
        <v>0</v>
      </c>
      <c r="GF11" s="621">
        <f>SUM([62]A04!$B$24)</f>
        <v>2</v>
      </c>
      <c r="GG11" s="621">
        <f>SUM([63]A04!$B$24)</f>
        <v>8</v>
      </c>
      <c r="GH11" s="621">
        <f>SUM([64]A04!$B$24)</f>
        <v>2</v>
      </c>
      <c r="GI11" s="621">
        <f>SUM([65]A04!$B$24)</f>
        <v>2</v>
      </c>
      <c r="GJ11" s="621">
        <f>SUM([66]A04!$B$24)</f>
        <v>1</v>
      </c>
      <c r="GK11" s="621">
        <f>SUM([67]A04!$B$24)</f>
        <v>1</v>
      </c>
      <c r="GL11" s="621">
        <f>SUM([68]A04!$B$24)</f>
        <v>0</v>
      </c>
      <c r="GM11" s="621">
        <f>SUM([69]A04!$B$24)</f>
        <v>19</v>
      </c>
      <c r="GN11" s="621">
        <f>SUM([70]A04!$B$24)</f>
        <v>2</v>
      </c>
      <c r="GO11" s="621">
        <f>SUM([71]A04!$B$24)</f>
        <v>8</v>
      </c>
      <c r="GP11" s="621">
        <f>SUM([72]A04!$B$24)</f>
        <v>0</v>
      </c>
      <c r="GQ11" s="621">
        <f>SUM([73]A04!$B$24)</f>
        <v>0</v>
      </c>
      <c r="GR11" s="260">
        <f t="shared" si="18"/>
        <v>45</v>
      </c>
    </row>
    <row r="12" spans="2:200" ht="13.5" thickBot="1" x14ac:dyDescent="0.25">
      <c r="B12" s="150">
        <v>107756</v>
      </c>
      <c r="C12" s="151" t="s">
        <v>101</v>
      </c>
      <c r="D12" s="246"/>
      <c r="E12" s="618">
        <f>SUM([74]A05!$H$114,[74]A05!$J$114,[74]A05!$L$114,[74]A05!$N$114,[74]A05!$P$114,[74]A05!$R$114,[74]A05!$T$114,[74]A05!$V$114,[74]A05!$X$114)</f>
        <v>2</v>
      </c>
      <c r="F12" s="618">
        <f>SUM([75]A05!$H$114,[75]A05!$J$114,[75]A05!$L$114,[75]A05!$N$114,[75]A05!$P$114,[75]A05!$R$114,[75]A05!$T$114,[75]A05!$V$114,[75]A05!$X$114)</f>
        <v>6</v>
      </c>
      <c r="G12" s="618">
        <f>SUM([76]A05!$H$114,[76]A05!$J$114,[76]A05!$L$114,[76]A05!$N$114,[76]A05!$P$114,[76]A05!$R$114,[76]A05!$T$114,[76]A05!$V$114,[76]A05!$X$114)</f>
        <v>1</v>
      </c>
      <c r="H12" s="618">
        <f>SUM([77]A05!$H$114,[77]A05!$J$114,[77]A05!$L$114,[77]A05!$N$114,[77]A05!$P$114,[77]A05!$R$114,[77]A05!$T$114,[77]A05!$V$114,[77]A05!$X$114)</f>
        <v>9</v>
      </c>
      <c r="I12" s="618">
        <f>SUM([78]A05!$H$114,[78]A05!$J$114,[78]A05!$L$114,[78]A05!$N$114,[78]A05!$P$114,[78]A05!$R$114,[78]A05!$T$114,[78]A05!$V$114,[78]A05!$X$114)</f>
        <v>6</v>
      </c>
      <c r="J12" s="618">
        <f>SUM([79]A05!$H$114,[79]A05!$J$114,[79]A05!$L$114,[79]A05!$N$114,[79]A05!$P$114,[79]A05!$R$114,[79]A05!$T$114,[79]A05!$V$114,[79]A05!$X$114)</f>
        <v>3</v>
      </c>
      <c r="K12" s="618">
        <f>SUM([80]A05!$H$114,[80]A05!$J$114,[80]A05!$L$114,[80]A05!$N$114,[80]A05!$P$114,[80]A05!$R$114,[80]A05!$T$114,[80]A05!$V$114,[80]A05!$X$114)</f>
        <v>2</v>
      </c>
      <c r="L12" s="618">
        <f>SUM([81]A05!$H$114,[81]A05!$J$114,[81]A05!$L$114,[81]A05!$N$114,[81]A05!$P$114,[81]A05!$R$114,[81]A05!$T$114,[81]A05!$V$114,[81]A05!$X$114)</f>
        <v>4</v>
      </c>
      <c r="M12" s="618">
        <f>SUM([82]A05!$H$114,[82]A05!$J$114,[82]A05!$L$114,[82]A05!$N$114,[82]A05!$P$114,[82]A05!$R$114,[82]A05!$T$114,[82]A05!$V$114,[82]A05!$X$114)</f>
        <v>3</v>
      </c>
      <c r="N12" s="618">
        <f>SUM([83]A05!$H$114,[83]A05!$J$114,[83]A05!$L$114,[83]A05!$N$114,[83]A05!$P$114,[83]A05!$R$114,[83]A05!$T$114,[83]A05!$V$114,[83]A05!$X$114)</f>
        <v>4</v>
      </c>
      <c r="O12" s="618">
        <f>SUM([84]A05!$H$114,[84]A05!$J$114,[84]A05!$L$114,[84]A05!$N$114,[84]A05!$P$114,[84]A05!$R$114,[84]A05!$T$114,[84]A05!$V$114,[84]A05!$X$114)</f>
        <v>0</v>
      </c>
      <c r="P12" s="618">
        <f>SUM([85]A05!$H$114,[85]A05!$J$114,[85]A05!$L$114,[85]A05!$N$114,[85]A05!$P$114,[85]A05!$R$114,[85]A05!$T$114,[85]A05!$V$114,[85]A05!$X$114)</f>
        <v>0</v>
      </c>
      <c r="Q12" s="617">
        <f t="shared" si="2"/>
        <v>40</v>
      </c>
      <c r="R12" s="246"/>
      <c r="S12" s="618">
        <f>SUM([74]A05!$I$114,[74]A05!$K$114,[74]A05!$M$114,[74]A05!$O$114,[74]A05!$Q$114,[74]A05!$S$114,[74]A05!$U$114,[74]A05!$W$114,[74]A05!$Y$114)</f>
        <v>4</v>
      </c>
      <c r="T12" s="618">
        <f>SUM([75]A05!$I$114,[75]A05!$K$114,[75]A05!$M$114,[75]A05!$O$114,[75]A05!$Q$114,[75]A05!$S$114,[75]A05!$U$114,[75]A05!$W$114,[75]A05!$Y$114)</f>
        <v>8</v>
      </c>
      <c r="U12" s="618">
        <f>SUM([76]A05!$I$114,[76]A05!$K$114,[76]A05!$M$114,[76]A05!$O$114,[76]A05!$Q$114,[76]A05!$S$114,[76]A05!$U$114,[76]A05!$W$114,[76]A05!$Y$114)</f>
        <v>4</v>
      </c>
      <c r="V12" s="618">
        <f>SUM([77]A05!$I$114,[77]A05!$K$114,[77]A05!$M$114,[77]A05!$O$114,[77]A05!$Q$114,[77]A05!$S$114,[77]A05!$U$114,[77]A05!$W$114,[77]A05!$Y$114)</f>
        <v>5</v>
      </c>
      <c r="W12" s="618">
        <f>SUM([78]A05!$I$114,[78]A05!$K$114,[78]A05!$M$114,[78]A05!$O$114,[78]A05!$Q$114,[78]A05!$S$114,[78]A05!$U$114,[78]A05!$W$114,[78]A05!$Y$114)</f>
        <v>6</v>
      </c>
      <c r="X12" s="618">
        <f>SUM([79]A05!$I$114,[79]A05!$K$114,[79]A05!$M$114,[79]A05!$O$114,[79]A05!$Q$114,[79]A05!$S$114,[79]A05!$U$114,[79]A05!$W$114,[79]A05!$Y$114)</f>
        <v>5</v>
      </c>
      <c r="Y12" s="618">
        <f>SUM([80]A05!$I$114,[80]A05!$K$114,[80]A05!$M$114,[80]A05!$O$114,[80]A05!$Q$114,[80]A05!$S$114,[80]A05!$U$114,[80]A05!$W$114,[80]A05!$Y$114)</f>
        <v>5</v>
      </c>
      <c r="Z12" s="618">
        <f>SUM([81]A05!$I$114,[81]A05!$K$114,[81]A05!$M$114,[81]A05!$O$114,[81]A05!$Q$114,[81]A05!$S$114,[81]A05!$U$114,[81]A05!$W$114,[81]A05!$Y$114)</f>
        <v>5</v>
      </c>
      <c r="AA12" s="618">
        <f>SUM([82]A05!$I$114,[82]A05!$K$114,[82]A05!$M$114,[82]A05!$O$114,[82]A05!$Q$114,[82]A05!$S$114,[82]A05!$U$114,[82]A05!$W$114,[82]A05!$Y$114)</f>
        <v>8</v>
      </c>
      <c r="AB12" s="618">
        <f>SUM([83]A05!$I$114,[83]A05!$K$114,[83]A05!$M$114,[83]A05!$O$114,[83]A05!$Q$114,[83]A05!$S$114,[83]A05!$U$114,[83]A05!$W$114,[83]A05!$Y$114)</f>
        <v>4</v>
      </c>
      <c r="AC12" s="618">
        <f>SUM([84]A05!$I$114,[84]A05!$K$114,[84]A05!$M$114,[84]A05!$O$114,[84]A05!$Q$114,[84]A05!$S$114,[84]A05!$U$114,[84]A05!$W$114,[84]A05!$Y$114)</f>
        <v>0</v>
      </c>
      <c r="AD12" s="618">
        <f>SUM([85]A05!$I$114,[85]A05!$K$114,[85]A05!$M$114,[85]A05!$O$114,[85]A05!$Q$114,[85]A05!$S$114,[85]A05!$U$114,[85]A05!$W$114,[85]A05!$Y$114)</f>
        <v>0</v>
      </c>
      <c r="AE12" s="617">
        <f t="shared" si="3"/>
        <v>54</v>
      </c>
      <c r="AF12" s="246"/>
      <c r="AG12" s="246"/>
      <c r="AH12" s="618">
        <f>SUM([74]A05!$H$127,[74]A05!$J$127,[74]A05!$L$127,[74]A05!$N$127,[74]A05!$P$127,[74]A05!$R$127,[74]A05!$T$127,[74]A05!$V$127,[74]A05!$X$127)</f>
        <v>1</v>
      </c>
      <c r="AI12" s="618">
        <f>SUM([75]A05!$H$127,[75]A05!$J$127,[75]A05!$L$127,[75]A05!$N$127,[75]A05!$P$127,[75]A05!$R$127,[75]A05!$T$127,[75]A05!$V$127,[75]A05!$X$127)</f>
        <v>0</v>
      </c>
      <c r="AJ12" s="618">
        <f>SUM([76]A05!$H$127,[76]A05!$J$127,[76]A05!$L$127,[76]A05!$N$127,[76]A05!$P$127,[76]A05!$R$127,[76]A05!$T$127,[76]A05!$V$127,[76]A05!$X$127)</f>
        <v>0</v>
      </c>
      <c r="AK12" s="618">
        <f>SUM([77]A05!$H$127,[77]A05!$J$127,[77]A05!$L$127,[77]A05!$N$127,[77]A05!$P$127,[77]A05!$R$127,[77]A05!$T$127,[77]A05!$V$127,[77]A05!$X$127)</f>
        <v>0</v>
      </c>
      <c r="AL12" s="618">
        <f>SUM([78]A05!$H$127,[78]A05!$J$127,[78]A05!$L$127,[78]A05!$N$127,[78]A05!$P$127,[78]A05!$R$127,[78]A05!$T$127,[78]A05!$V$127,[78]A05!$X$127)</f>
        <v>0</v>
      </c>
      <c r="AM12" s="618">
        <f>SUM([79]A05!$H$127,[79]A05!$J$127,[79]A05!$L$127,[79]A05!$N$127,[79]A05!$P$127,[79]A05!$R$127,[79]A05!$T$127,[79]A05!$V$127,[79]A05!$X$127)</f>
        <v>0</v>
      </c>
      <c r="AN12" s="618">
        <f>SUM([80]A05!$H$127,[80]A05!$J$127,[80]A05!$L$127,[80]A05!$N$127,[80]A05!$P$127,[80]A05!$R$127,[80]A05!$T$127,[80]A05!$V$127,[80]A05!$X$127)</f>
        <v>0</v>
      </c>
      <c r="AO12" s="618">
        <f>SUM([81]A05!$H$127,[81]A05!$J$127,[81]A05!$L$127,[81]A05!$N$127,[81]A05!$P$127,[81]A05!$R$127,[81]A05!$T$127,[81]A05!$V$127,[81]A05!$X$127)</f>
        <v>0</v>
      </c>
      <c r="AP12" s="618">
        <f>SUM([82]A05!$H$127,[82]A05!$J$127,[82]A05!$L$127,[82]A05!$N$127,[82]A05!$P$127,[82]A05!$R$127,[82]A05!$T$127,[82]A05!$V$127,[82]A05!$X$127)</f>
        <v>1</v>
      </c>
      <c r="AQ12" s="618">
        <f>SUM([83]A05!$H$127,[83]A05!$J$127,[83]A05!$L$127,[83]A05!$N$127,[83]A05!$P$127,[83]A05!$R$127,[83]A05!$T$127,[83]A05!$V$127,[83]A05!$X$127)</f>
        <v>0</v>
      </c>
      <c r="AR12" s="618">
        <f>SUM([84]A05!$H$127,[84]A05!$J$127,[84]A05!$L$127,[84]A05!$N$127,[84]A05!$P$127,[84]A05!$R$127,[84]A05!$T$127,[84]A05!$V$127,[84]A05!$X$127)</f>
        <v>0</v>
      </c>
      <c r="AS12" s="618">
        <f>SUM([85]A05!$H$127,[85]A05!$J$127,[85]A05!$L$127,[85]A05!$N$127,[85]A05!$P$127,[85]A05!$R$127,[85]A05!$T$127,[85]A05!$V$127,[85]A05!$X$127)</f>
        <v>0</v>
      </c>
      <c r="AT12" s="617">
        <f t="shared" si="4"/>
        <v>2</v>
      </c>
      <c r="AU12" s="254"/>
      <c r="AV12" s="618">
        <f>SUM([74]A05!$I$127,[74]A05!$K$127,[74]A05!$M$127,[74]A05!$O$127,[74]A05!$Q$127,[74]A05!$S$127,[74]A05!$U$127,[74]A05!$W$127,[74]A05!$Y$127)</f>
        <v>1</v>
      </c>
      <c r="AW12" s="618">
        <f>SUM([75]A05!$I$127,[75]A05!$K$127,[75]A05!$M$127,[75]A05!$O$127,[75]A05!$Q$127,[75]A05!$S$127,[75]A05!$U$127,[75]A05!$W$127,[75]A05!$Y$127)</f>
        <v>0</v>
      </c>
      <c r="AX12" s="618">
        <f>SUM([76]A05!$I$127,[76]A05!$K$127,[76]A05!$M$127,[76]A05!$O$127,[76]A05!$Q$127,[76]A05!$S$127,[76]A05!$U$127,[76]A05!$W$127,[76]A05!$Y$127)</f>
        <v>0</v>
      </c>
      <c r="AY12" s="618">
        <f>SUM([77]A05!$I$127,[77]A05!$K$127,[77]A05!$M$127,[77]A05!$O$127,[77]A05!$Q$127,[77]A05!$S$127,[77]A05!$U$127,[77]A05!$W$127,[77]A05!$Y$127)</f>
        <v>0</v>
      </c>
      <c r="AZ12" s="618">
        <f>SUM([78]A05!$I$127,[78]A05!$K$127,[78]A05!$M$127,[78]A05!$O$127,[78]A05!$Q$127,[78]A05!$S$127,[78]A05!$U$127,[78]A05!$W$127,[78]A05!$Y$127)</f>
        <v>0</v>
      </c>
      <c r="BA12" s="618">
        <f>SUM([79]A05!$I$127,[79]A05!$K$127,[79]A05!$M$127,[79]A05!$O$127,[79]A05!$Q$127,[79]A05!$S$127,[79]A05!$U$127,[79]A05!$W$127,[79]A05!$Y$127)</f>
        <v>3</v>
      </c>
      <c r="BB12" s="618">
        <f>SUM([80]A05!$I$127,[80]A05!$K$127,[80]A05!$M$127,[80]A05!$O$127,[80]A05!$Q$127,[80]A05!$S$127,[80]A05!$U$127,[80]A05!$W$127,[80]A05!$Y$127)</f>
        <v>0</v>
      </c>
      <c r="BC12" s="618">
        <f>SUM([81]A05!$I$127,[81]A05!$K$127,[81]A05!$M$127,[81]A05!$O$127,[81]A05!$Q$127,[81]A05!$S$127,[81]A05!$U$127,[81]A05!$W$127,[81]A05!$Y$127)</f>
        <v>0</v>
      </c>
      <c r="BD12" s="618">
        <f>SUM([82]A05!$I$127,[82]A05!$K$127,[82]A05!$M$127,[82]A05!$O$127,[82]A05!$Q$127,[82]A05!$S$127,[82]A05!$U$127,[82]A05!$W$127,[82]A05!$Y$127)</f>
        <v>1</v>
      </c>
      <c r="BE12" s="618">
        <f>SUM([83]A05!$I$127,[83]A05!$K$127,[83]A05!$M$127,[83]A05!$O$127,[83]A05!$Q$127,[83]A05!$S$127,[83]A05!$U$127,[83]A05!$W$127,[83]A05!$Y$127)</f>
        <v>0</v>
      </c>
      <c r="BF12" s="618">
        <f>SUM([84]A05!$I$127,[84]A05!$K$127,[84]A05!$M$127,[84]A05!$O$127,[84]A05!$Q$127,[84]A05!$S$127,[84]A05!$U$127,[84]A05!$W$127,[84]A05!$Y$127)</f>
        <v>0</v>
      </c>
      <c r="BG12" s="618">
        <f>SUM([85]A05!$I$127,[85]A05!$K$127,[85]A05!$M$127,[85]A05!$O$127,[85]A05!$Q$127,[85]A05!$S$127,[85]A05!$U$127,[85]A05!$W$127,[85]A05!$Y$127)</f>
        <v>0</v>
      </c>
      <c r="BH12" s="617">
        <f t="shared" si="5"/>
        <v>5</v>
      </c>
      <c r="BI12" s="254"/>
      <c r="BJ12" s="618">
        <f>[74]A05!$C$186</f>
        <v>29</v>
      </c>
      <c r="BK12" s="618">
        <f>[75]A05!$C$186</f>
        <v>9</v>
      </c>
      <c r="BL12" s="618">
        <f>[76]A05!$C$186</f>
        <v>22</v>
      </c>
      <c r="BM12" s="618">
        <f>[77]A05!$C$186</f>
        <v>14</v>
      </c>
      <c r="BN12" s="618">
        <f>[78]A05!$C$186</f>
        <v>10</v>
      </c>
      <c r="BO12" s="618">
        <f>[79]A05!$C$186</f>
        <v>16</v>
      </c>
      <c r="BP12" s="618">
        <f>[80]A05!$C$186</f>
        <v>20</v>
      </c>
      <c r="BQ12" s="618">
        <f>[81]A05!$C$186</f>
        <v>18</v>
      </c>
      <c r="BR12" s="618">
        <f>[82]A05!$C$186</f>
        <v>26</v>
      </c>
      <c r="BS12" s="618">
        <f>[83]A05!$C$186</f>
        <v>32</v>
      </c>
      <c r="BT12" s="618">
        <f>[84]A05!$C$186</f>
        <v>0</v>
      </c>
      <c r="BU12" s="618">
        <f>[85]A05!$C$186</f>
        <v>0</v>
      </c>
      <c r="BV12" s="617">
        <f t="shared" si="6"/>
        <v>196</v>
      </c>
      <c r="BW12" s="254"/>
      <c r="BX12" s="608">
        <f>SUM([74]A05!$C$234,[74]A05!$AN$241,[74]A05!$AO$241,[74]A05!$AP$241)</f>
        <v>3</v>
      </c>
      <c r="BY12" s="608">
        <f>SUM([75]A05!$C$234,[75]A05!$AN$241,[75]A05!$AO$241,[75]A05!$AP$241)</f>
        <v>0</v>
      </c>
      <c r="BZ12" s="608">
        <f>SUM([76]A05!$C$234,[76]A05!$AN$241,[76]A05!$AO$241,[76]A05!$AP$241)</f>
        <v>2</v>
      </c>
      <c r="CA12" s="608">
        <f>SUM([77]A05!$C$234,[77]A05!$AN$241,[77]A05!$AO$241,[77]A05!$AP$241)</f>
        <v>8</v>
      </c>
      <c r="CB12" s="608">
        <f>SUM([78]A05!$C$234,[78]A05!$AN$241,[78]A05!$AO$241,[78]A05!$AP$241)</f>
        <v>0</v>
      </c>
      <c r="CC12" s="608">
        <f>SUM([79]A05!$C$234,[79]A05!$AN$241,[79]A05!$AO$241,[79]A05!$AP$241)</f>
        <v>41</v>
      </c>
      <c r="CD12" s="608">
        <f>SUM([80]A05!$C$234,[80]A05!$AN$241,[80]A05!$AO$241,[80]A05!$AP$241)</f>
        <v>6</v>
      </c>
      <c r="CE12" s="608">
        <f>SUM([81]A05!$C$234,[81]A05!$AN$241,[81]A05!$AO$241,[81]A05!$AP$241)</f>
        <v>1</v>
      </c>
      <c r="CF12" s="608">
        <f>SUM([82]A05!$C$234,[82]A05!$AN$241,[82]A05!$AO$241,[82]A05!$AP$241)</f>
        <v>0</v>
      </c>
      <c r="CG12" s="608">
        <f>SUM([83]A05!$C$234,[83]A05!$AN$241,[83]A05!$AO$241,[83]A05!$AP$241)</f>
        <v>1</v>
      </c>
      <c r="CH12" s="608">
        <f>SUM([84]A05!$C$234,[84]A05!$AN$241,[84]A05!$AO$241,[84]A05!$AP$241)</f>
        <v>0</v>
      </c>
      <c r="CI12" s="608">
        <f>SUM([85]A05!$C$234,[85]A05!$AN$241,[85]A05!$AO$241,[85]A05!$AP$241)</f>
        <v>0</v>
      </c>
      <c r="CJ12" s="260">
        <f t="shared" si="7"/>
        <v>62</v>
      </c>
      <c r="CK12" s="254"/>
      <c r="CL12" s="608">
        <f>SUM([74]A09!$G$12:$AB$12)</f>
        <v>42</v>
      </c>
      <c r="CM12" s="608">
        <f>SUM([75]A09!$G$12:$AB$12)</f>
        <v>97</v>
      </c>
      <c r="CN12" s="608">
        <f>SUM([76]A09!$G$12:$AB$12)</f>
        <v>32</v>
      </c>
      <c r="CO12" s="608">
        <f>SUM([77]A09!$G$12:$AB$12)</f>
        <v>25</v>
      </c>
      <c r="CP12" s="608">
        <f>SUM([78]A09!$G$12:$AB$12)</f>
        <v>45</v>
      </c>
      <c r="CQ12" s="608">
        <f>SUM([79]A09!$G$12:$AB$12)</f>
        <v>27</v>
      </c>
      <c r="CR12" s="608">
        <f>SUM([80]A09!$G$12:$AB$12)</f>
        <v>41</v>
      </c>
      <c r="CS12" s="608">
        <f>SUM([81]A09!$G$12:$AB$12)</f>
        <v>42</v>
      </c>
      <c r="CT12" s="608">
        <f>SUM([82]A09!$G$12:$AB$12)</f>
        <v>23</v>
      </c>
      <c r="CU12" s="608">
        <f>SUM([83]A09!$G$12:$AB$12)</f>
        <v>44</v>
      </c>
      <c r="CV12" s="608">
        <f>SUM([84]A09!$G$12:$AB$12)</f>
        <v>0</v>
      </c>
      <c r="CW12" s="608">
        <f>SUM([85]A09!$G$12:$AB$12)</f>
        <v>0</v>
      </c>
      <c r="CX12" s="260">
        <f t="shared" si="8"/>
        <v>418</v>
      </c>
      <c r="CY12" s="254"/>
      <c r="CZ12" s="608">
        <f>SUM([74]A09!$G$48:$L$48)</f>
        <v>6</v>
      </c>
      <c r="DA12" s="608">
        <f>SUM([75]A09!$G$48:$L$48)</f>
        <v>6</v>
      </c>
      <c r="DB12" s="608">
        <f>SUM([76]A09!$G$48:$L$48)</f>
        <v>6</v>
      </c>
      <c r="DC12" s="608">
        <f>SUM([77]A09!$G$48:$L$48)</f>
        <v>1</v>
      </c>
      <c r="DD12" s="608">
        <f>SUM([78]A09!$G$48:$L$48)</f>
        <v>7</v>
      </c>
      <c r="DE12" s="608">
        <f>SUM([79]A09!$G$48:$L$48)</f>
        <v>12</v>
      </c>
      <c r="DF12" s="608">
        <f>SUM([80]A09!$G$48:$L$48)</f>
        <v>7</v>
      </c>
      <c r="DG12" s="608">
        <f>SUM([81]A09!$G$48:$L$48)</f>
        <v>13</v>
      </c>
      <c r="DH12" s="608">
        <f>SUM([82]A09!$G$48:$L$48)</f>
        <v>5</v>
      </c>
      <c r="DI12" s="608">
        <f>SUM([83]A09!$G$48:$L$48)</f>
        <v>8</v>
      </c>
      <c r="DJ12" s="608">
        <f>SUM([84]A09!$G$48:$L$48)</f>
        <v>0</v>
      </c>
      <c r="DK12" s="608">
        <f>SUM([85]A09!$G$48:$L$48)</f>
        <v>0</v>
      </c>
      <c r="DL12" s="260">
        <f t="shared" si="9"/>
        <v>71</v>
      </c>
      <c r="DM12" s="285"/>
      <c r="DN12" s="434">
        <f t="shared" si="0"/>
        <v>189</v>
      </c>
      <c r="DO12" s="434">
        <f t="shared" si="0"/>
        <v>67</v>
      </c>
      <c r="DP12" s="434">
        <f t="shared" si="0"/>
        <v>163</v>
      </c>
      <c r="DQ12" s="434">
        <f t="shared" si="0"/>
        <v>181</v>
      </c>
      <c r="DR12" s="434">
        <f t="shared" si="0"/>
        <v>150</v>
      </c>
      <c r="DS12" s="434">
        <f t="shared" si="0"/>
        <v>115</v>
      </c>
      <c r="DT12" s="434">
        <f t="shared" si="0"/>
        <v>126</v>
      </c>
      <c r="DU12" s="434">
        <f t="shared" si="0"/>
        <v>126</v>
      </c>
      <c r="DV12" s="434">
        <f t="shared" si="10"/>
        <v>127</v>
      </c>
      <c r="DW12" s="434">
        <f t="shared" si="11"/>
        <v>170</v>
      </c>
      <c r="DX12" s="434">
        <f t="shared" si="12"/>
        <v>0</v>
      </c>
      <c r="DY12" s="434">
        <f t="shared" si="1"/>
        <v>0</v>
      </c>
      <c r="DZ12" s="260">
        <f t="shared" si="13"/>
        <v>1414</v>
      </c>
      <c r="EA12" s="254"/>
      <c r="EB12" s="620">
        <f>SUM([74]A06!$C$22:$C$23,[74]A06!$E$32)</f>
        <v>169</v>
      </c>
      <c r="EC12" s="620">
        <f>SUM([75]A06!$C$22:$C$23,[75]A06!$E$32)</f>
        <v>54</v>
      </c>
      <c r="ED12" s="620">
        <f>SUM([76]A06!$C$22:$C$23,[76]A06!$E$32)</f>
        <v>159</v>
      </c>
      <c r="EE12" s="620">
        <f>SUM([77]A06!$C$22:$C$23,[77]A06!$E$32)</f>
        <v>170</v>
      </c>
      <c r="EF12" s="620">
        <f>SUM([78]A06!$C$22:$C$23,[78]A06!$E$32)</f>
        <v>138</v>
      </c>
      <c r="EG12" s="620">
        <f>SUM([79]A06!$C$22:$C$23,[79]A06!$E$32)</f>
        <v>91</v>
      </c>
      <c r="EH12" s="620">
        <f>SUM([80]A06!$C$22:$C$23,[80]A06!$E$32)</f>
        <v>94</v>
      </c>
      <c r="EI12" s="620">
        <f>SUM([81]A06!$C$22:$C$23,[81]A06!$E$32)</f>
        <v>113</v>
      </c>
      <c r="EJ12" s="620">
        <f>SUM([82]A06!$C$22:$C$23,[82]A06!$E$32)</f>
        <v>116</v>
      </c>
      <c r="EK12" s="620">
        <f>SUM([83]A06!$C$22:$C$23,[83]A06!$E$32)</f>
        <v>156</v>
      </c>
      <c r="EL12" s="620">
        <f>SUM([84]A06!$C$22:$C$23,[84]A06!$E$32)</f>
        <v>0</v>
      </c>
      <c r="EM12" s="620">
        <f>SUM([85]A06!$C$22:$C$23,[85]A06!$E$32)</f>
        <v>0</v>
      </c>
      <c r="EN12" s="260">
        <f t="shared" si="14"/>
        <v>1260</v>
      </c>
      <c r="EP12" s="621">
        <f>SUM([74]A19a!$C$97,$C$99)</f>
        <v>0</v>
      </c>
      <c r="EQ12" s="621">
        <f>SUM([75]A19a!$C$97,$C$99)</f>
        <v>0</v>
      </c>
      <c r="ER12" s="621">
        <f>SUM([76]A19a!$C$97,$C$99)</f>
        <v>0</v>
      </c>
      <c r="ES12" s="621">
        <f>SUM([77]A19a!$C$97,$C$99)</f>
        <v>0</v>
      </c>
      <c r="ET12" s="621">
        <f>SUM([78]A19a!$C$97,$C$99)</f>
        <v>0</v>
      </c>
      <c r="EU12" s="621">
        <f>SUM([79]A19a!$C$97,$C$99)</f>
        <v>0</v>
      </c>
      <c r="EV12" s="621">
        <f>SUM([80]A19a!$C$97,$C$99)</f>
        <v>0</v>
      </c>
      <c r="EW12" s="621">
        <f>SUM([81]A19a!$C$97,$C$99)</f>
        <v>0</v>
      </c>
      <c r="EX12" s="621">
        <f>SUM([82]A19a!$C$97,$C$99)</f>
        <v>0</v>
      </c>
      <c r="EY12" s="621">
        <f>SUM([83]A19a!$C$97,$C$99)</f>
        <v>0</v>
      </c>
      <c r="EZ12" s="621">
        <f>SUM([84]A19a!$C$97,$C$99)</f>
        <v>0</v>
      </c>
      <c r="FA12" s="621">
        <f>SUM([85]A19a!$C$97,$C$99)</f>
        <v>0</v>
      </c>
      <c r="FB12" s="260">
        <f t="shared" si="15"/>
        <v>0</v>
      </c>
      <c r="FD12" s="621">
        <f>SUM([74]A26!$C$30:$C$31,[74]A26!$C$38:$E$38)</f>
        <v>20</v>
      </c>
      <c r="FE12" s="621">
        <f>SUM([75]A26!$C$30:$C$31,[75]A26!$C$38:$E$38)</f>
        <v>13</v>
      </c>
      <c r="FF12" s="621">
        <f>SUM([76]A26!$C$30:$C$31,[76]A26!$C$38:$E$38)</f>
        <v>4</v>
      </c>
      <c r="FG12" s="621">
        <f>SUM([77]A26!$C$30:$C$31,[77]A26!$C$38:$E$38)</f>
        <v>11</v>
      </c>
      <c r="FH12" s="621">
        <f>SUM([78]A26!$C$30:$C$31,[78]A26!$C$38:$E$38)</f>
        <v>12</v>
      </c>
      <c r="FI12" s="621">
        <f>SUM([79]A26!$C$30:$C$31,[79]A26!$C$38:$E$38)</f>
        <v>23</v>
      </c>
      <c r="FJ12" s="621">
        <f>SUM([80]A26!$C$30:$C$31,[80]A26!$C$38:$E$38)</f>
        <v>32</v>
      </c>
      <c r="FK12" s="621">
        <f>SUM([81]A26!$C$30:$C$31,[81]A26!$C$38:$E$38)</f>
        <v>13</v>
      </c>
      <c r="FL12" s="621">
        <f>SUM([82]A26!$C$30:$C$31,[82]A26!$C$38:$E$38)</f>
        <v>11</v>
      </c>
      <c r="FM12" s="621">
        <f>SUM([83]A26!$C$30:$C$31,[83]A26!$C$38:$E$38)</f>
        <v>13</v>
      </c>
      <c r="FN12" s="621">
        <f>SUM([84]A26!$C$30:$C$31,[84]A26!$C$38:$E$38)</f>
        <v>0</v>
      </c>
      <c r="FO12" s="621">
        <f>SUM([85]A26!$C$30:$C$31,[85]A26!$C$38:$E$38)</f>
        <v>0</v>
      </c>
      <c r="FP12" s="260">
        <f t="shared" si="16"/>
        <v>152</v>
      </c>
      <c r="FR12" s="621">
        <f>SUM([74]A32!$B$127:$B$129,[74]A32!$C$144,[74]A32!$C$155)</f>
        <v>0</v>
      </c>
      <c r="FS12" s="621">
        <f>SUM([75]A32!$B$127:$B$129,[75]A32!$C$144,[75]A32!$C$155)</f>
        <v>0</v>
      </c>
      <c r="FT12" s="621">
        <f>SUM([76]A32!$B$127:$B$129,[76]A32!$C$144,[76]A32!$C$155)</f>
        <v>0</v>
      </c>
      <c r="FU12" s="621">
        <f>SUM([77]A32!$B$127:$B$129,[77]A32!$C$144,[77]A32!$C$155)</f>
        <v>0</v>
      </c>
      <c r="FV12" s="621">
        <f>SUM([78]A32!$B$127:$B$129,[78]A32!$C$144,[78]A32!$C$155)</f>
        <v>0</v>
      </c>
      <c r="FW12" s="621">
        <f>SUM([79]A32!$B$127:$B$129,[79]A32!$C$144,[79]A32!$C$155)</f>
        <v>0</v>
      </c>
      <c r="FX12" s="621">
        <f>SUM([80]A32!$B$127:$B$129,[80]A32!$C$144,[80]A32!$C$155)</f>
        <v>0</v>
      </c>
      <c r="FY12" s="621">
        <f>SUM([81]A32!$B$127:$B$129,[81]A32!$C$144,[81]A32!$C$155)</f>
        <v>0</v>
      </c>
      <c r="FZ12" s="621">
        <f>SUM([82]A32!$B$127:$B$129,[82]A32!$C$144,[82]A32!$C$155)</f>
        <v>0</v>
      </c>
      <c r="GA12" s="621">
        <f>SUM([83]A32!$B$127:$B$129,[83]A32!$C$144,[83]A32!$C$155)</f>
        <v>1</v>
      </c>
      <c r="GB12" s="621">
        <f>SUM([84]A32!$B$127:$B$129,[84]A32!$C$144,[84]A32!$C$155)</f>
        <v>0</v>
      </c>
      <c r="GC12" s="621">
        <f>SUM([85]A32!$B$127:$B$129,[85]A32!$C$144,[85]A32!$C$155)</f>
        <v>0</v>
      </c>
      <c r="GD12" s="260">
        <f t="shared" si="17"/>
        <v>1</v>
      </c>
      <c r="GF12" s="621">
        <f>SUM([74]A04!$B$24)</f>
        <v>0</v>
      </c>
      <c r="GG12" s="621">
        <f>SUM([75]A04!$B$24)</f>
        <v>0</v>
      </c>
      <c r="GH12" s="621">
        <f>SUM([76]A04!$B$24)</f>
        <v>0</v>
      </c>
      <c r="GI12" s="621">
        <f>SUM([77]A04!$B$24)</f>
        <v>0</v>
      </c>
      <c r="GJ12" s="621">
        <f>SUM([78]A04!$B$24)</f>
        <v>0</v>
      </c>
      <c r="GK12" s="621">
        <f>SUM([79]A04!$B$24)</f>
        <v>1</v>
      </c>
      <c r="GL12" s="621">
        <f>SUM([80]A04!$B$24)</f>
        <v>0</v>
      </c>
      <c r="GM12" s="621">
        <f>SUM([81]A04!$B$24)</f>
        <v>0</v>
      </c>
      <c r="GN12" s="621">
        <f>SUM([82]A04!$B$24)</f>
        <v>0</v>
      </c>
      <c r="GO12" s="621">
        <f>SUM([83]A04!$B$24)</f>
        <v>0</v>
      </c>
      <c r="GP12" s="621">
        <f>SUM([84]A04!$B$24)</f>
        <v>0</v>
      </c>
      <c r="GQ12" s="621">
        <f>SUM([85]A04!$B$24)</f>
        <v>0</v>
      </c>
      <c r="GR12" s="260">
        <f t="shared" si="18"/>
        <v>1</v>
      </c>
    </row>
    <row r="13" spans="2:200" ht="13.5" thickBot="1" x14ac:dyDescent="0.25">
      <c r="B13" s="296"/>
      <c r="C13" s="297" t="s">
        <v>202</v>
      </c>
      <c r="E13" s="267">
        <f>SUM(E6:E12)</f>
        <v>61</v>
      </c>
      <c r="F13" s="267">
        <f t="shared" ref="F13:P13" si="20">SUM(F6:F12)</f>
        <v>29</v>
      </c>
      <c r="G13" s="267">
        <f t="shared" si="20"/>
        <v>47</v>
      </c>
      <c r="H13" s="267">
        <f t="shared" si="20"/>
        <v>53</v>
      </c>
      <c r="I13" s="267">
        <f t="shared" si="20"/>
        <v>44</v>
      </c>
      <c r="J13" s="267">
        <f t="shared" si="20"/>
        <v>64</v>
      </c>
      <c r="K13" s="267">
        <f t="shared" si="20"/>
        <v>59</v>
      </c>
      <c r="L13" s="267">
        <f t="shared" si="20"/>
        <v>65</v>
      </c>
      <c r="M13" s="267">
        <f t="shared" si="20"/>
        <v>38</v>
      </c>
      <c r="N13" s="267">
        <f t="shared" si="20"/>
        <v>60</v>
      </c>
      <c r="O13" s="267">
        <f t="shared" si="20"/>
        <v>0</v>
      </c>
      <c r="P13" s="267">
        <f t="shared" si="20"/>
        <v>0</v>
      </c>
      <c r="Q13" s="267">
        <f>SUM(Q6:Q12)</f>
        <v>520</v>
      </c>
      <c r="S13" s="267">
        <f>SUM(S6:S12)</f>
        <v>92</v>
      </c>
      <c r="T13" s="267">
        <f t="shared" ref="T13:AD13" si="21">SUM(T6:T12)</f>
        <v>56</v>
      </c>
      <c r="U13" s="267">
        <f t="shared" si="21"/>
        <v>68</v>
      </c>
      <c r="V13" s="267">
        <f t="shared" si="21"/>
        <v>76</v>
      </c>
      <c r="W13" s="267">
        <f t="shared" si="21"/>
        <v>71</v>
      </c>
      <c r="X13" s="267">
        <f t="shared" si="21"/>
        <v>95</v>
      </c>
      <c r="Y13" s="267">
        <f t="shared" si="21"/>
        <v>95</v>
      </c>
      <c r="Z13" s="267">
        <f t="shared" si="21"/>
        <v>65</v>
      </c>
      <c r="AA13" s="267">
        <f t="shared" si="21"/>
        <v>84</v>
      </c>
      <c r="AB13" s="267">
        <f t="shared" si="21"/>
        <v>83</v>
      </c>
      <c r="AC13" s="267">
        <f t="shared" si="21"/>
        <v>0</v>
      </c>
      <c r="AD13" s="267">
        <f t="shared" si="21"/>
        <v>0</v>
      </c>
      <c r="AE13" s="267">
        <f>SUM(AE6:AE12)</f>
        <v>785</v>
      </c>
      <c r="AH13" s="267">
        <f>SUM(AH6:AH12)</f>
        <v>10</v>
      </c>
      <c r="AI13" s="267">
        <f t="shared" ref="AI13:AS13" si="22">SUM(AI6:AI12)</f>
        <v>5</v>
      </c>
      <c r="AJ13" s="267">
        <f t="shared" si="22"/>
        <v>0</v>
      </c>
      <c r="AK13" s="267">
        <f t="shared" si="22"/>
        <v>4</v>
      </c>
      <c r="AL13" s="267">
        <f t="shared" si="22"/>
        <v>1</v>
      </c>
      <c r="AM13" s="267">
        <f t="shared" ref="AM13" si="23">SUM(AM6:AM12)</f>
        <v>15</v>
      </c>
      <c r="AN13" s="267">
        <f t="shared" si="22"/>
        <v>10</v>
      </c>
      <c r="AO13" s="267">
        <f t="shared" si="22"/>
        <v>4</v>
      </c>
      <c r="AP13" s="267">
        <f t="shared" si="22"/>
        <v>8</v>
      </c>
      <c r="AQ13" s="267">
        <f t="shared" si="22"/>
        <v>20</v>
      </c>
      <c r="AR13" s="267">
        <f t="shared" si="22"/>
        <v>0</v>
      </c>
      <c r="AS13" s="267">
        <f t="shared" si="22"/>
        <v>0</v>
      </c>
      <c r="AT13" s="267">
        <f>SUM(AT6:AT12)</f>
        <v>77</v>
      </c>
      <c r="AU13" s="254"/>
      <c r="AV13" s="466">
        <f>SUM(AV6:AV12)</f>
        <v>10</v>
      </c>
      <c r="AW13" s="267">
        <f t="shared" ref="AW13" si="24">SUM(AW6:AW12)</f>
        <v>11</v>
      </c>
      <c r="AX13" s="267">
        <f t="shared" ref="AX13" si="25">SUM(AX6:AX12)</f>
        <v>1</v>
      </c>
      <c r="AY13" s="267">
        <f t="shared" ref="AY13" si="26">SUM(AY6:AY12)</f>
        <v>10</v>
      </c>
      <c r="AZ13" s="267">
        <f t="shared" ref="AZ13:BA13" si="27">SUM(AZ6:AZ12)</f>
        <v>5</v>
      </c>
      <c r="BA13" s="267">
        <f t="shared" si="27"/>
        <v>17</v>
      </c>
      <c r="BB13" s="267">
        <f t="shared" ref="BB13" si="28">SUM(BB6:BB12)</f>
        <v>9</v>
      </c>
      <c r="BC13" s="267">
        <f t="shared" ref="BC13" si="29">SUM(BC6:BC12)</f>
        <v>6</v>
      </c>
      <c r="BD13" s="267">
        <f t="shared" ref="BD13" si="30">SUM(BD6:BD12)</f>
        <v>11</v>
      </c>
      <c r="BE13" s="267">
        <f t="shared" ref="BE13" si="31">SUM(BE6:BE12)</f>
        <v>19</v>
      </c>
      <c r="BF13" s="267">
        <f t="shared" ref="BF13" si="32">SUM(BF6:BF12)</f>
        <v>0</v>
      </c>
      <c r="BG13" s="267">
        <f t="shared" ref="BG13" si="33">SUM(BG6:BG12)</f>
        <v>0</v>
      </c>
      <c r="BH13" s="466">
        <f>SUM(BH6:BH12)</f>
        <v>99</v>
      </c>
      <c r="BI13" s="254"/>
      <c r="BJ13" s="267">
        <f>SUM(BJ6:BJ12)</f>
        <v>326</v>
      </c>
      <c r="BK13" s="466">
        <f t="shared" ref="BK13" si="34">SUM(BK6:BK12)</f>
        <v>230</v>
      </c>
      <c r="BL13" s="267">
        <f t="shared" ref="BL13" si="35">SUM(BL6:BL12)</f>
        <v>438</v>
      </c>
      <c r="BM13" s="267">
        <f t="shared" ref="BM13" si="36">SUM(BM6:BM12)</f>
        <v>340</v>
      </c>
      <c r="BN13" s="267">
        <f t="shared" ref="BN13:BO13" si="37">SUM(BN6:BN12)</f>
        <v>314</v>
      </c>
      <c r="BO13" s="267">
        <f t="shared" si="37"/>
        <v>384</v>
      </c>
      <c r="BP13" s="267">
        <f t="shared" ref="BP13" si="38">SUM(BP6:BP12)</f>
        <v>370</v>
      </c>
      <c r="BQ13" s="267">
        <f t="shared" ref="BQ13" si="39">SUM(BQ6:BQ12)</f>
        <v>362</v>
      </c>
      <c r="BR13" s="267">
        <f t="shared" ref="BR13" si="40">SUM(BR6:BR12)</f>
        <v>376</v>
      </c>
      <c r="BS13" s="267">
        <f t="shared" ref="BS13" si="41">SUM(BS6:BS12)</f>
        <v>380</v>
      </c>
      <c r="BT13" s="267">
        <f t="shared" ref="BT13" si="42">SUM(BT6:BT12)</f>
        <v>0</v>
      </c>
      <c r="BU13" s="267">
        <f t="shared" ref="BU13" si="43">SUM(BU6:BU12)</f>
        <v>0</v>
      </c>
      <c r="BV13" s="466">
        <f>SUM(BV6:BV12)</f>
        <v>3520</v>
      </c>
      <c r="BW13" s="254"/>
      <c r="BX13" s="267">
        <f>SUM(BX6:BX12)</f>
        <v>120</v>
      </c>
      <c r="BY13" s="267">
        <f t="shared" ref="BY13" si="44">SUM(BY6:BY12)</f>
        <v>67</v>
      </c>
      <c r="BZ13" s="267">
        <f t="shared" ref="BZ13" si="45">SUM(BZ6:BZ12)</f>
        <v>259</v>
      </c>
      <c r="CA13" s="267">
        <f t="shared" ref="CA13" si="46">SUM(CA6:CA12)</f>
        <v>173</v>
      </c>
      <c r="CB13" s="267">
        <f t="shared" ref="CB13:CC13" si="47">SUM(CB6:CB12)</f>
        <v>190</v>
      </c>
      <c r="CC13" s="267">
        <f t="shared" si="47"/>
        <v>405</v>
      </c>
      <c r="CD13" s="267">
        <f t="shared" ref="CD13" si="48">SUM(CD6:CD12)</f>
        <v>79</v>
      </c>
      <c r="CE13" s="267">
        <f t="shared" ref="CE13" si="49">SUM(CE6:CE12)</f>
        <v>192</v>
      </c>
      <c r="CF13" s="267">
        <f t="shared" ref="CF13" si="50">SUM(CF6:CF12)</f>
        <v>566</v>
      </c>
      <c r="CG13" s="267">
        <f t="shared" ref="CG13" si="51">SUM(CG6:CG12)</f>
        <v>385</v>
      </c>
      <c r="CH13" s="267">
        <f t="shared" ref="CH13" si="52">SUM(CH6:CH12)</f>
        <v>0</v>
      </c>
      <c r="CI13" s="267">
        <f t="shared" ref="CI13" si="53">SUM(CI6:CI12)</f>
        <v>0</v>
      </c>
      <c r="CJ13" s="267">
        <f>SUM(CJ6:CJ12)</f>
        <v>2436</v>
      </c>
      <c r="CK13" s="254"/>
      <c r="CL13" s="267">
        <f>SUM(CL6:CL12)</f>
        <v>1102</v>
      </c>
      <c r="CM13" s="267">
        <f t="shared" ref="CM13" si="54">SUM(CM6:CM12)</f>
        <v>820</v>
      </c>
      <c r="CN13" s="267">
        <f t="shared" ref="CN13" si="55">SUM(CN6:CN12)</f>
        <v>774</v>
      </c>
      <c r="CO13" s="267">
        <f t="shared" ref="CO13" si="56">SUM(CO6:CO12)</f>
        <v>772</v>
      </c>
      <c r="CP13" s="267">
        <f t="shared" ref="CP13:CQ13" si="57">SUM(CP6:CP12)</f>
        <v>881</v>
      </c>
      <c r="CQ13" s="267">
        <f t="shared" si="57"/>
        <v>730</v>
      </c>
      <c r="CR13" s="267">
        <f t="shared" ref="CR13" si="58">SUM(CR6:CR12)</f>
        <v>897</v>
      </c>
      <c r="CS13" s="267">
        <f t="shared" ref="CS13" si="59">SUM(CS6:CS12)</f>
        <v>985</v>
      </c>
      <c r="CT13" s="267">
        <f t="shared" ref="CT13" si="60">SUM(CT6:CT12)</f>
        <v>953</v>
      </c>
      <c r="CU13" s="267">
        <f t="shared" ref="CU13" si="61">SUM(CU6:CU12)</f>
        <v>1532</v>
      </c>
      <c r="CV13" s="267">
        <f t="shared" ref="CV13" si="62">SUM(CV6:CV12)</f>
        <v>0</v>
      </c>
      <c r="CW13" s="267">
        <f t="shared" ref="CW13" si="63">SUM(CW6:CW12)</f>
        <v>0</v>
      </c>
      <c r="CX13" s="267">
        <f>SUM(CX6:CX12)</f>
        <v>9446</v>
      </c>
      <c r="CY13" s="254"/>
      <c r="CZ13" s="267">
        <f>SUM(CZ6:CZ12)</f>
        <v>128</v>
      </c>
      <c r="DA13" s="267">
        <f t="shared" ref="DA13" si="64">SUM(DA6:DA12)</f>
        <v>105</v>
      </c>
      <c r="DB13" s="267">
        <f t="shared" ref="DB13" si="65">SUM(DB6:DB12)</f>
        <v>131</v>
      </c>
      <c r="DC13" s="267">
        <f t="shared" ref="DC13" si="66">SUM(DC6:DC12)</f>
        <v>133</v>
      </c>
      <c r="DD13" s="267">
        <f t="shared" ref="DD13:DE13" si="67">SUM(DD6:DD12)</f>
        <v>107</v>
      </c>
      <c r="DE13" s="267">
        <f t="shared" si="67"/>
        <v>99</v>
      </c>
      <c r="DF13" s="267">
        <f t="shared" ref="DF13" si="68">SUM(DF6:DF12)</f>
        <v>123</v>
      </c>
      <c r="DG13" s="267">
        <f t="shared" ref="DG13" si="69">SUM(DG6:DG12)</f>
        <v>107</v>
      </c>
      <c r="DH13" s="267">
        <f t="shared" ref="DH13" si="70">SUM(DH6:DH12)</f>
        <v>109</v>
      </c>
      <c r="DI13" s="267">
        <f t="shared" ref="DI13" si="71">SUM(DI6:DI12)</f>
        <v>163</v>
      </c>
      <c r="DJ13" s="267">
        <f t="shared" ref="DJ13" si="72">SUM(DJ6:DJ12)</f>
        <v>0</v>
      </c>
      <c r="DK13" s="267">
        <f t="shared" ref="DK13" si="73">SUM(DK6:DK12)</f>
        <v>0</v>
      </c>
      <c r="DL13" s="267">
        <f>SUM(DL6:DL12)</f>
        <v>1205</v>
      </c>
      <c r="DM13" s="285"/>
      <c r="DN13" s="267">
        <f>SUM(DN6:DN12)</f>
        <v>3412</v>
      </c>
      <c r="DO13" s="267">
        <f t="shared" ref="DO13" si="74">SUM(DO6:DO12)</f>
        <v>2531</v>
      </c>
      <c r="DP13" s="267">
        <f t="shared" ref="DP13" si="75">SUM(DP6:DP12)</f>
        <v>3498</v>
      </c>
      <c r="DQ13" s="267">
        <f t="shared" ref="DQ13" si="76">SUM(DQ6:DQ12)</f>
        <v>3518</v>
      </c>
      <c r="DR13" s="267">
        <f t="shared" ref="DR13" si="77">SUM(DR6:DR12)</f>
        <v>3528</v>
      </c>
      <c r="DS13" s="267">
        <f t="shared" ref="DS13" si="78">SUM(DS6:DS12)</f>
        <v>3403</v>
      </c>
      <c r="DT13" s="267">
        <f t="shared" ref="DT13" si="79">SUM(DT6:DT12)</f>
        <v>4158</v>
      </c>
      <c r="DU13" s="267">
        <f t="shared" ref="DU13" si="80">SUM(DU6:DU12)</f>
        <v>4177</v>
      </c>
      <c r="DV13" s="267">
        <f t="shared" ref="DV13" si="81">SUM(DV6:DV12)</f>
        <v>3361</v>
      </c>
      <c r="DW13" s="267">
        <f t="shared" ref="DW13" si="82">SUM(DW6:DW12)</f>
        <v>4301</v>
      </c>
      <c r="DX13" s="267">
        <f t="shared" ref="DX13" si="83">SUM(DX6:DX12)</f>
        <v>0</v>
      </c>
      <c r="DY13" s="267">
        <f t="shared" ref="DY13" si="84">SUM(DY6:DY12)</f>
        <v>0</v>
      </c>
      <c r="DZ13" s="267">
        <f>SUM(DZ6:DZ12)</f>
        <v>35887</v>
      </c>
      <c r="EA13" s="254"/>
      <c r="EB13" s="267">
        <f>SUM(EB6:EB12)</f>
        <v>3038</v>
      </c>
      <c r="EC13" s="267">
        <f t="shared" ref="EC13" si="85">SUM(EC6:EC12)</f>
        <v>2143</v>
      </c>
      <c r="ED13" s="267">
        <f t="shared" ref="ED13" si="86">SUM(ED6:ED12)</f>
        <v>3116</v>
      </c>
      <c r="EE13" s="267">
        <f t="shared" ref="EE13" si="87">SUM(EE6:EE12)</f>
        <v>2990</v>
      </c>
      <c r="EF13" s="267">
        <f t="shared" ref="EF13:EG13" si="88">SUM(EF6:EF12)</f>
        <v>3104</v>
      </c>
      <c r="EG13" s="267">
        <f t="shared" si="88"/>
        <v>2909</v>
      </c>
      <c r="EH13" s="267">
        <f t="shared" ref="EH13" si="89">SUM(EH6:EH12)</f>
        <v>3574</v>
      </c>
      <c r="EI13" s="267">
        <f t="shared" ref="EI13" si="90">SUM(EI6:EI12)</f>
        <v>3702</v>
      </c>
      <c r="EJ13" s="267">
        <f t="shared" ref="EJ13" si="91">SUM(EJ6:EJ12)</f>
        <v>2931</v>
      </c>
      <c r="EK13" s="267">
        <f t="shared" ref="EK13" si="92">SUM(EK6:EK12)</f>
        <v>3780</v>
      </c>
      <c r="EL13" s="267">
        <f t="shared" ref="EL13" si="93">SUM(EL6:EL12)</f>
        <v>0</v>
      </c>
      <c r="EM13" s="267">
        <f t="shared" ref="EM13" si="94">SUM(EM6:EM12)</f>
        <v>0</v>
      </c>
      <c r="EN13" s="267">
        <f>SUM(EN6:EN12)</f>
        <v>31287</v>
      </c>
      <c r="EP13" s="267">
        <f>SUM(EP6:EP12)</f>
        <v>19</v>
      </c>
      <c r="EQ13" s="267">
        <f t="shared" ref="EQ13" si="95">SUM(EQ6:EQ12)</f>
        <v>8</v>
      </c>
      <c r="ER13" s="267">
        <f t="shared" ref="ER13" si="96">SUM(ER6:ER12)</f>
        <v>8</v>
      </c>
      <c r="ES13" s="267">
        <f t="shared" ref="ES13" si="97">SUM(ES6:ES12)</f>
        <v>9</v>
      </c>
      <c r="ET13" s="267">
        <f t="shared" ref="ET13:EU13" si="98">SUM(ET6:ET12)</f>
        <v>14</v>
      </c>
      <c r="EU13" s="267">
        <f t="shared" si="98"/>
        <v>32</v>
      </c>
      <c r="EV13" s="267">
        <f t="shared" ref="EV13" si="99">SUM(EV6:EV12)</f>
        <v>5</v>
      </c>
      <c r="EW13" s="267">
        <f t="shared" ref="EW13" si="100">SUM(EW6:EW12)</f>
        <v>35</v>
      </c>
      <c r="EX13" s="267">
        <f t="shared" ref="EX13" si="101">SUM(EX6:EX12)</f>
        <v>0</v>
      </c>
      <c r="EY13" s="267">
        <f t="shared" ref="EY13" si="102">SUM(EY6:EY12)</f>
        <v>32</v>
      </c>
      <c r="EZ13" s="267">
        <f t="shared" ref="EZ13" si="103">SUM(EZ6:EZ12)</f>
        <v>0</v>
      </c>
      <c r="FA13" s="267">
        <f t="shared" ref="FA13" si="104">SUM(FA6:FA12)</f>
        <v>0</v>
      </c>
      <c r="FB13" s="466">
        <f>SUM(FB6:FB12)</f>
        <v>162</v>
      </c>
      <c r="FD13" s="466">
        <f>SUM(FD6:FD12)</f>
        <v>105</v>
      </c>
      <c r="FE13" s="267">
        <f t="shared" ref="FE13" si="105">SUM(FE6:FE12)</f>
        <v>86</v>
      </c>
      <c r="FF13" s="267">
        <f t="shared" ref="FF13" si="106">SUM(FF6:FF12)</f>
        <v>50</v>
      </c>
      <c r="FG13" s="267">
        <f t="shared" ref="FG13" si="107">SUM(FG6:FG12)</f>
        <v>65</v>
      </c>
      <c r="FH13" s="267">
        <f t="shared" ref="FH13:FI13" si="108">SUM(FH6:FH12)</f>
        <v>59</v>
      </c>
      <c r="FI13" s="267">
        <f t="shared" si="108"/>
        <v>52</v>
      </c>
      <c r="FJ13" s="267">
        <f t="shared" ref="FJ13" si="109">SUM(FJ6:FJ12)</f>
        <v>91</v>
      </c>
      <c r="FK13" s="267">
        <f t="shared" ref="FK13" si="110">SUM(FK6:FK12)</f>
        <v>50</v>
      </c>
      <c r="FL13" s="267">
        <f t="shared" ref="FL13" si="111">SUM(FL6:FL12)</f>
        <v>60</v>
      </c>
      <c r="FM13" s="267">
        <f t="shared" ref="FM13" si="112">SUM(FM6:FM12)</f>
        <v>43</v>
      </c>
      <c r="FN13" s="267">
        <f t="shared" ref="FN13" si="113">SUM(FN6:FN12)</f>
        <v>0</v>
      </c>
      <c r="FO13" s="267">
        <f t="shared" ref="FO13" si="114">SUM(FO6:FO12)</f>
        <v>0</v>
      </c>
      <c r="FP13" s="267">
        <f>SUM(FP6:FP12)</f>
        <v>661</v>
      </c>
      <c r="FR13" s="267">
        <f>SUM(FR6:FR12)</f>
        <v>0</v>
      </c>
      <c r="FS13" s="267">
        <f t="shared" ref="FS13" si="115">SUM(FS6:FS12)</f>
        <v>12</v>
      </c>
      <c r="FT13" s="267">
        <f t="shared" ref="FT13" si="116">SUM(FT6:FT12)</f>
        <v>20</v>
      </c>
      <c r="FU13" s="267">
        <f t="shared" ref="FU13" si="117">SUM(FU6:FU12)</f>
        <v>27</v>
      </c>
      <c r="FV13" s="267">
        <f t="shared" ref="FV13:FW13" si="118">SUM(FV6:FV12)</f>
        <v>45</v>
      </c>
      <c r="FW13" s="267">
        <f t="shared" si="118"/>
        <v>39</v>
      </c>
      <c r="FX13" s="267">
        <f t="shared" ref="FX13" si="119">SUM(FX6:FX12)</f>
        <v>52</v>
      </c>
      <c r="FY13" s="267">
        <f t="shared" ref="FY13" si="120">SUM(FY6:FY12)</f>
        <v>33</v>
      </c>
      <c r="FZ13" s="267">
        <f t="shared" ref="FZ13" si="121">SUM(FZ6:FZ12)</f>
        <v>41</v>
      </c>
      <c r="GA13" s="267">
        <f t="shared" ref="GA13" si="122">SUM(GA6:GA12)</f>
        <v>34</v>
      </c>
      <c r="GB13" s="267">
        <f t="shared" ref="GB13" si="123">SUM(GB6:GB12)</f>
        <v>0</v>
      </c>
      <c r="GC13" s="267">
        <f t="shared" ref="GC13" si="124">SUM(GC6:GC12)</f>
        <v>0</v>
      </c>
      <c r="GD13" s="267">
        <f>SUM(GD6:GD12)</f>
        <v>303</v>
      </c>
      <c r="GF13" s="267">
        <f>SUM(GF6:GF12)</f>
        <v>250</v>
      </c>
      <c r="GG13" s="267">
        <f t="shared" ref="GG13" si="125">SUM(GG6:GG12)</f>
        <v>282</v>
      </c>
      <c r="GH13" s="267">
        <f t="shared" ref="GH13" si="126">SUM(GH6:GH12)</f>
        <v>304</v>
      </c>
      <c r="GI13" s="267">
        <f t="shared" ref="GI13" si="127">SUM(GI6:GI12)</f>
        <v>427</v>
      </c>
      <c r="GJ13" s="267">
        <f t="shared" ref="GJ13:GK13" si="128">SUM(GJ6:GJ12)</f>
        <v>306</v>
      </c>
      <c r="GK13" s="267">
        <f t="shared" si="128"/>
        <v>371</v>
      </c>
      <c r="GL13" s="267">
        <f t="shared" ref="GL13" si="129">SUM(GL6:GL12)</f>
        <v>436</v>
      </c>
      <c r="GM13" s="267">
        <f t="shared" ref="GM13" si="130">SUM(GM6:GM12)</f>
        <v>357</v>
      </c>
      <c r="GN13" s="267">
        <f t="shared" ref="GN13" si="131">SUM(GN6:GN12)</f>
        <v>329</v>
      </c>
      <c r="GO13" s="267">
        <f t="shared" ref="GO13" si="132">SUM(GO6:GO12)</f>
        <v>412</v>
      </c>
      <c r="GP13" s="267">
        <f t="shared" ref="GP13" si="133">SUM(GP6:GP12)</f>
        <v>0</v>
      </c>
      <c r="GQ13" s="267">
        <f t="shared" ref="GQ13" si="134">SUM(GQ6:GQ12)</f>
        <v>0</v>
      </c>
      <c r="GR13" s="267">
        <f>SUM(GR6:GR12)</f>
        <v>3474</v>
      </c>
    </row>
    <row r="14" spans="2:200" ht="12" x14ac:dyDescent="0.2">
      <c r="C14" s="268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69"/>
      <c r="AI14" s="269"/>
      <c r="AJ14" s="269"/>
      <c r="AK14" s="269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54"/>
      <c r="CQ14" s="254"/>
      <c r="CR14" s="254"/>
      <c r="CS14" s="254"/>
      <c r="CT14" s="254"/>
      <c r="CU14" s="254"/>
      <c r="CV14" s="254"/>
      <c r="CW14" s="254"/>
      <c r="CX14" s="254"/>
      <c r="CY14" s="254"/>
      <c r="CZ14" s="254"/>
      <c r="DA14" s="254"/>
      <c r="DB14" s="254"/>
      <c r="DC14" s="254"/>
      <c r="DD14" s="254"/>
      <c r="DE14" s="254"/>
      <c r="DF14" s="254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  <c r="EZ14" s="254"/>
      <c r="FA14" s="254"/>
      <c r="FB14" s="254"/>
      <c r="FC14" s="254"/>
      <c r="FD14" s="254"/>
      <c r="FE14" s="254"/>
      <c r="FF14" s="254"/>
      <c r="FG14" s="254"/>
      <c r="FH14" s="254"/>
      <c r="FI14" s="254"/>
      <c r="FJ14" s="254"/>
      <c r="FK14" s="254"/>
      <c r="FL14" s="254"/>
      <c r="FM14" s="254"/>
      <c r="FN14" s="254"/>
      <c r="FO14" s="254"/>
      <c r="FP14" s="254"/>
      <c r="FQ14" s="254"/>
      <c r="FR14" s="254"/>
      <c r="FS14" s="254"/>
      <c r="FT14" s="254"/>
      <c r="FU14" s="254"/>
      <c r="FV14" s="254"/>
      <c r="FW14" s="254"/>
      <c r="FX14" s="254"/>
      <c r="FY14" s="254"/>
      <c r="FZ14" s="254"/>
      <c r="GA14" s="254"/>
      <c r="GB14" s="254"/>
      <c r="GC14" s="254"/>
      <c r="GD14" s="254"/>
      <c r="GF14" s="269"/>
      <c r="GG14" s="269"/>
      <c r="GH14" s="269"/>
      <c r="GI14" s="269"/>
      <c r="GJ14" s="254"/>
      <c r="GK14" s="254"/>
      <c r="GL14" s="254"/>
      <c r="GM14" s="254"/>
      <c r="GN14" s="254"/>
      <c r="GO14" s="254"/>
      <c r="GP14" s="254"/>
      <c r="GQ14" s="254"/>
      <c r="GR14" s="254"/>
    </row>
    <row r="15" spans="2:200" x14ac:dyDescent="0.2"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</row>
    <row r="16" spans="2:200" x14ac:dyDescent="0.2"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</row>
    <row r="17" spans="34:135" x14ac:dyDescent="0.2"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</row>
    <row r="18" spans="34:135" x14ac:dyDescent="0.2"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</row>
    <row r="19" spans="34:135" x14ac:dyDescent="0.2"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</row>
    <row r="20" spans="34:135" x14ac:dyDescent="0.2"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  <c r="DB20" s="254"/>
      <c r="DC20" s="254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</row>
    <row r="21" spans="34:135" x14ac:dyDescent="0.2"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4"/>
      <c r="DG21" s="254"/>
      <c r="DH21" s="254"/>
      <c r="DI21" s="254"/>
      <c r="DJ21" s="254"/>
      <c r="DK21" s="254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254"/>
      <c r="DX21" s="254"/>
      <c r="DY21" s="254"/>
      <c r="DZ21" s="254"/>
      <c r="EA21" s="254"/>
      <c r="EB21" s="254"/>
      <c r="EC21" s="254"/>
      <c r="ED21" s="254"/>
      <c r="EE21" s="254"/>
    </row>
    <row r="22" spans="34:135" x14ac:dyDescent="0.2"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</row>
    <row r="23" spans="34:135" x14ac:dyDescent="0.2"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</row>
    <row r="24" spans="34:135" x14ac:dyDescent="0.2"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  <c r="EC24" s="254"/>
      <c r="ED24" s="254"/>
      <c r="EE24" s="254"/>
    </row>
    <row r="25" spans="34:135" x14ac:dyDescent="0.2"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254"/>
      <c r="DZ25" s="254"/>
      <c r="EA25" s="254"/>
      <c r="EB25" s="254"/>
      <c r="EC25" s="254"/>
      <c r="ED25" s="254"/>
      <c r="EE25" s="254"/>
    </row>
    <row r="26" spans="34:135" x14ac:dyDescent="0.2"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254"/>
      <c r="DZ26" s="254"/>
      <c r="EA26" s="254"/>
      <c r="EB26" s="254"/>
      <c r="EC26" s="254"/>
      <c r="ED26" s="254"/>
      <c r="EE26" s="254"/>
    </row>
    <row r="27" spans="34:135" x14ac:dyDescent="0.2"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254"/>
      <c r="DZ27" s="254"/>
      <c r="EA27" s="254"/>
      <c r="EB27" s="254"/>
      <c r="EC27" s="254"/>
      <c r="ED27" s="254"/>
      <c r="EE27" s="254"/>
    </row>
    <row r="28" spans="34:135" x14ac:dyDescent="0.2"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</row>
    <row r="29" spans="34:135" x14ac:dyDescent="0.2"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</row>
    <row r="30" spans="34:135" x14ac:dyDescent="0.2"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254"/>
      <c r="DZ30" s="254"/>
      <c r="EA30" s="254"/>
      <c r="EB30" s="254"/>
      <c r="EC30" s="254"/>
      <c r="ED30" s="254"/>
      <c r="EE30" s="254"/>
    </row>
    <row r="31" spans="34:135" x14ac:dyDescent="0.2"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254"/>
      <c r="DZ31" s="254"/>
      <c r="EA31" s="254"/>
      <c r="EB31" s="254"/>
      <c r="EC31" s="254"/>
      <c r="ED31" s="254"/>
      <c r="EE31" s="254"/>
    </row>
    <row r="32" spans="34:135" x14ac:dyDescent="0.2"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254"/>
      <c r="DZ32" s="254"/>
      <c r="EA32" s="254"/>
      <c r="EB32" s="254"/>
      <c r="EC32" s="254"/>
      <c r="ED32" s="254"/>
      <c r="EE32" s="254"/>
    </row>
    <row r="33" spans="34:135" x14ac:dyDescent="0.2"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  <c r="EC33" s="254"/>
      <c r="ED33" s="254"/>
      <c r="EE33" s="254"/>
    </row>
    <row r="34" spans="34:135" x14ac:dyDescent="0.2"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254"/>
      <c r="DZ34" s="254"/>
      <c r="EA34" s="254"/>
      <c r="EB34" s="254"/>
      <c r="EC34" s="254"/>
      <c r="ED34" s="254"/>
      <c r="EE34" s="254"/>
    </row>
    <row r="35" spans="34:135" x14ac:dyDescent="0.2"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</row>
    <row r="36" spans="34:135" x14ac:dyDescent="0.2"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</row>
    <row r="37" spans="34:135" x14ac:dyDescent="0.2"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</row>
    <row r="38" spans="34:135" x14ac:dyDescent="0.2"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</row>
    <row r="39" spans="34:135" x14ac:dyDescent="0.2"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</row>
    <row r="40" spans="34:135" x14ac:dyDescent="0.2"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</row>
    <row r="41" spans="34:135" x14ac:dyDescent="0.2"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</row>
    <row r="42" spans="34:135" x14ac:dyDescent="0.2"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254"/>
      <c r="DL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</row>
    <row r="43" spans="34:135" x14ac:dyDescent="0.2"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  <c r="AX43" s="273"/>
      <c r="AY43" s="273"/>
      <c r="AZ43" s="273"/>
      <c r="BA43" s="273"/>
      <c r="BB43" s="273"/>
      <c r="BC43" s="273"/>
      <c r="BD43" s="273"/>
      <c r="BE43" s="273"/>
      <c r="BF43" s="273"/>
      <c r="BG43" s="273"/>
      <c r="BH43" s="273"/>
      <c r="BI43" s="273"/>
      <c r="BJ43" s="273"/>
      <c r="BK43" s="273"/>
      <c r="BL43" s="273"/>
      <c r="BM43" s="273"/>
      <c r="BN43" s="273"/>
      <c r="BO43" s="273"/>
      <c r="BP43" s="273"/>
      <c r="BQ43" s="273"/>
      <c r="BR43" s="273"/>
      <c r="BS43" s="273"/>
      <c r="BT43" s="273"/>
      <c r="BU43" s="273"/>
      <c r="BV43" s="273"/>
      <c r="BW43" s="273"/>
      <c r="BX43" s="273"/>
      <c r="BY43" s="273"/>
      <c r="BZ43" s="273"/>
      <c r="CA43" s="273"/>
      <c r="CB43" s="273"/>
      <c r="CC43" s="273"/>
      <c r="CD43" s="273"/>
      <c r="CE43" s="273"/>
      <c r="CF43" s="273"/>
      <c r="CG43" s="273"/>
      <c r="CH43" s="273"/>
      <c r="CI43" s="273"/>
      <c r="CJ43" s="273"/>
      <c r="CK43" s="273"/>
      <c r="CL43" s="254"/>
      <c r="CM43" s="254"/>
      <c r="CN43" s="254"/>
      <c r="CO43" s="254"/>
      <c r="CP43" s="254"/>
      <c r="CQ43" s="254"/>
      <c r="CR43" s="254"/>
      <c r="CS43" s="254"/>
      <c r="CT43" s="254"/>
      <c r="CU43" s="254"/>
      <c r="CV43" s="254"/>
      <c r="CW43" s="254"/>
      <c r="CX43" s="254"/>
      <c r="CZ43" s="254"/>
      <c r="DA43" s="254"/>
      <c r="DB43" s="254"/>
      <c r="DC43" s="254"/>
      <c r="DD43" s="254"/>
      <c r="DE43" s="254"/>
      <c r="DF43" s="254"/>
      <c r="DG43" s="254"/>
      <c r="DH43" s="254"/>
      <c r="DI43" s="254"/>
      <c r="DJ43" s="254"/>
      <c r="DK43" s="254"/>
      <c r="DL43" s="254"/>
      <c r="DN43" s="254"/>
      <c r="DO43" s="254"/>
      <c r="DP43" s="254"/>
      <c r="DQ43" s="254"/>
      <c r="DR43" s="254"/>
      <c r="DS43" s="254"/>
      <c r="DT43" s="254"/>
      <c r="DU43" s="254"/>
      <c r="DV43" s="254"/>
      <c r="DW43" s="254"/>
      <c r="DX43" s="254"/>
      <c r="DY43" s="254"/>
      <c r="DZ43" s="254"/>
    </row>
    <row r="44" spans="34:135" x14ac:dyDescent="0.2"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3"/>
      <c r="AT44" s="273"/>
      <c r="AU44" s="273"/>
      <c r="AV44" s="273"/>
      <c r="AW44" s="273"/>
      <c r="AX44" s="273"/>
      <c r="AY44" s="273"/>
      <c r="AZ44" s="273"/>
      <c r="BA44" s="273"/>
      <c r="BB44" s="273"/>
      <c r="BC44" s="273"/>
      <c r="BD44" s="273"/>
      <c r="BE44" s="273"/>
      <c r="BF44" s="273"/>
      <c r="BG44" s="273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273"/>
      <c r="BS44" s="273"/>
      <c r="BT44" s="273"/>
      <c r="BU44" s="273"/>
      <c r="BV44" s="273"/>
      <c r="BW44" s="273"/>
      <c r="BX44" s="273"/>
      <c r="BY44" s="273"/>
      <c r="BZ44" s="273"/>
      <c r="CA44" s="273"/>
      <c r="CB44" s="273"/>
      <c r="CC44" s="273"/>
      <c r="CD44" s="273"/>
      <c r="CE44" s="273"/>
      <c r="CF44" s="273"/>
      <c r="CG44" s="273"/>
      <c r="CH44" s="273"/>
      <c r="CI44" s="273"/>
      <c r="CJ44" s="273"/>
      <c r="CK44" s="273"/>
      <c r="CL44" s="253"/>
      <c r="CM44" s="253"/>
      <c r="CN44" s="253"/>
      <c r="CO44" s="253"/>
      <c r="CP44" s="253"/>
      <c r="CQ44" s="253"/>
      <c r="CR44" s="253"/>
      <c r="CS44" s="253"/>
      <c r="CT44" s="253"/>
      <c r="CU44" s="253"/>
      <c r="CV44" s="253"/>
      <c r="CW44" s="253"/>
      <c r="CX44" s="253"/>
      <c r="CZ44" s="253"/>
      <c r="DA44" s="253"/>
      <c r="DB44" s="253"/>
      <c r="DC44" s="253"/>
      <c r="DD44" s="253"/>
      <c r="DE44" s="253"/>
      <c r="DF44" s="253"/>
      <c r="DG44" s="253"/>
      <c r="DH44" s="253"/>
      <c r="DI44" s="253"/>
      <c r="DJ44" s="253"/>
      <c r="DK44" s="253"/>
      <c r="DL44" s="253"/>
    </row>
    <row r="45" spans="34:135" x14ac:dyDescent="0.2">
      <c r="AH45" s="273"/>
      <c r="AI45" s="273"/>
      <c r="AJ45" s="273"/>
      <c r="AK45" s="273"/>
      <c r="AL45" s="273"/>
      <c r="AM45" s="273"/>
      <c r="AN45" s="273"/>
      <c r="AO45" s="273"/>
      <c r="AP45" s="273"/>
      <c r="AQ45" s="273"/>
      <c r="AR45" s="273"/>
      <c r="AS45" s="273"/>
      <c r="AT45" s="273"/>
      <c r="AU45" s="273"/>
      <c r="AV45" s="273"/>
      <c r="AW45" s="273"/>
      <c r="AX45" s="273"/>
      <c r="AY45" s="273"/>
      <c r="AZ45" s="273"/>
      <c r="BA45" s="273"/>
      <c r="BB45" s="273"/>
      <c r="BC45" s="273"/>
      <c r="BD45" s="273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3"/>
      <c r="BP45" s="273"/>
      <c r="BQ45" s="273"/>
      <c r="BR45" s="273"/>
      <c r="BS45" s="273"/>
      <c r="BT45" s="273"/>
      <c r="BU45" s="273"/>
      <c r="BV45" s="273"/>
      <c r="BW45" s="273"/>
      <c r="BX45" s="273"/>
      <c r="BY45" s="273"/>
      <c r="BZ45" s="273"/>
      <c r="CA45" s="273"/>
      <c r="CB45" s="273"/>
      <c r="CC45" s="273"/>
      <c r="CD45" s="273"/>
      <c r="CE45" s="273"/>
      <c r="CF45" s="273"/>
      <c r="CG45" s="273"/>
      <c r="CH45" s="273"/>
      <c r="CI45" s="273"/>
      <c r="CJ45" s="273"/>
      <c r="CK45" s="273"/>
      <c r="CL45" s="273"/>
      <c r="CM45" s="273"/>
      <c r="CN45" s="273"/>
      <c r="CO45" s="273"/>
      <c r="CP45" s="273"/>
      <c r="CQ45" s="273"/>
      <c r="CR45" s="273"/>
      <c r="CS45" s="273"/>
      <c r="CT45" s="273"/>
      <c r="CU45" s="273"/>
      <c r="CV45" s="273"/>
      <c r="CW45" s="273"/>
      <c r="CX45" s="273"/>
      <c r="CZ45" s="273"/>
      <c r="DA45" s="273"/>
      <c r="DB45" s="273"/>
      <c r="DC45" s="273"/>
      <c r="DD45" s="273"/>
      <c r="DE45" s="273"/>
      <c r="DF45" s="273"/>
      <c r="DG45" s="273"/>
      <c r="DH45" s="273"/>
      <c r="DI45" s="273"/>
      <c r="DJ45" s="273"/>
      <c r="DK45" s="273"/>
      <c r="DL45" s="273"/>
      <c r="DN45" s="254"/>
      <c r="DO45" s="254"/>
      <c r="DP45" s="254"/>
      <c r="DQ45" s="254"/>
      <c r="DR45" s="254"/>
      <c r="DS45" s="254"/>
      <c r="DT45" s="254"/>
      <c r="DU45" s="254"/>
      <c r="DV45" s="254"/>
      <c r="DW45" s="254"/>
      <c r="DX45" s="254"/>
      <c r="DY45" s="254"/>
      <c r="DZ45" s="254"/>
    </row>
    <row r="46" spans="34:135" x14ac:dyDescent="0.2"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  <c r="AZ46" s="273"/>
      <c r="BA46" s="273"/>
      <c r="BB46" s="273"/>
      <c r="BC46" s="273"/>
      <c r="BD46" s="273"/>
      <c r="BE46" s="273"/>
      <c r="BF46" s="273"/>
      <c r="BG46" s="273"/>
      <c r="BH46" s="273"/>
      <c r="BI46" s="273"/>
      <c r="BJ46" s="273"/>
      <c r="BK46" s="273"/>
      <c r="BL46" s="273"/>
      <c r="BM46" s="273"/>
      <c r="BN46" s="273"/>
      <c r="BO46" s="273"/>
      <c r="BP46" s="273"/>
      <c r="BQ46" s="273"/>
      <c r="BR46" s="273"/>
      <c r="BS46" s="273"/>
      <c r="BT46" s="273"/>
      <c r="BU46" s="273"/>
      <c r="BV46" s="273"/>
      <c r="BW46" s="273"/>
      <c r="BX46" s="273"/>
      <c r="BY46" s="273"/>
      <c r="BZ46" s="273"/>
      <c r="CA46" s="273"/>
      <c r="CB46" s="273"/>
      <c r="CC46" s="273"/>
      <c r="CD46" s="273"/>
      <c r="CE46" s="273"/>
      <c r="CF46" s="273"/>
      <c r="CG46" s="273"/>
      <c r="CH46" s="273"/>
      <c r="CI46" s="273"/>
      <c r="CJ46" s="273"/>
      <c r="CK46" s="273"/>
      <c r="CL46" s="273"/>
      <c r="CM46" s="273"/>
      <c r="CN46" s="273"/>
      <c r="CO46" s="273"/>
      <c r="CP46" s="273"/>
      <c r="CQ46" s="273"/>
      <c r="CR46" s="273"/>
      <c r="CS46" s="273"/>
      <c r="CT46" s="273"/>
      <c r="CU46" s="273"/>
      <c r="CV46" s="273"/>
      <c r="CW46" s="273"/>
      <c r="CX46" s="273"/>
      <c r="CZ46" s="273"/>
      <c r="DA46" s="273"/>
      <c r="DB46" s="273"/>
      <c r="DC46" s="273"/>
      <c r="DD46" s="273"/>
      <c r="DE46" s="273"/>
      <c r="DF46" s="273"/>
      <c r="DG46" s="273"/>
      <c r="DH46" s="273"/>
      <c r="DI46" s="273"/>
      <c r="DJ46" s="273"/>
      <c r="DK46" s="273"/>
      <c r="DL46" s="273"/>
      <c r="DN46" s="254"/>
      <c r="DO46" s="254"/>
      <c r="DP46" s="254"/>
      <c r="DQ46" s="254"/>
      <c r="DR46" s="254"/>
      <c r="DS46" s="254"/>
      <c r="DT46" s="254"/>
      <c r="DU46" s="254"/>
      <c r="DV46" s="254"/>
      <c r="DW46" s="254"/>
      <c r="DX46" s="254"/>
      <c r="DY46" s="254"/>
      <c r="DZ46" s="254"/>
    </row>
    <row r="47" spans="34:135" x14ac:dyDescent="0.2"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273"/>
      <c r="CE47" s="273"/>
      <c r="CF47" s="273"/>
      <c r="CG47" s="273"/>
      <c r="CH47" s="273"/>
      <c r="CI47" s="273"/>
      <c r="CJ47" s="273"/>
      <c r="CK47" s="273"/>
      <c r="CL47" s="273"/>
      <c r="CM47" s="273"/>
      <c r="CN47" s="273"/>
      <c r="CO47" s="273"/>
      <c r="CP47" s="273"/>
      <c r="CQ47" s="273"/>
      <c r="CR47" s="273"/>
      <c r="CS47" s="273"/>
      <c r="CT47" s="273"/>
      <c r="CU47" s="273"/>
      <c r="CV47" s="273"/>
      <c r="CW47" s="273"/>
      <c r="CX47" s="273"/>
      <c r="CZ47" s="273"/>
      <c r="DA47" s="273"/>
      <c r="DB47" s="273"/>
      <c r="DC47" s="273"/>
      <c r="DD47" s="273"/>
      <c r="DE47" s="273"/>
      <c r="DF47" s="273"/>
      <c r="DG47" s="273"/>
      <c r="DH47" s="273"/>
      <c r="DI47" s="273"/>
      <c r="DJ47" s="273"/>
      <c r="DK47" s="273"/>
      <c r="DL47" s="273"/>
      <c r="DN47" s="254"/>
      <c r="DO47" s="254"/>
      <c r="DP47" s="254"/>
      <c r="DQ47" s="254"/>
      <c r="DR47" s="254"/>
      <c r="DS47" s="254"/>
      <c r="DT47" s="254"/>
      <c r="DU47" s="254"/>
      <c r="DV47" s="254"/>
      <c r="DW47" s="254"/>
      <c r="DX47" s="254"/>
      <c r="DY47" s="254"/>
      <c r="DZ47" s="254"/>
    </row>
    <row r="48" spans="34:135" x14ac:dyDescent="0.2">
      <c r="CL48" s="273"/>
      <c r="CM48" s="273"/>
      <c r="CN48" s="273"/>
      <c r="CO48" s="273"/>
      <c r="CP48" s="273"/>
      <c r="CQ48" s="273"/>
      <c r="CR48" s="273"/>
      <c r="CS48" s="273"/>
      <c r="CT48" s="273"/>
      <c r="CU48" s="273"/>
      <c r="CV48" s="273"/>
      <c r="CW48" s="273"/>
      <c r="CX48" s="273"/>
      <c r="CZ48" s="273"/>
      <c r="DA48" s="273"/>
      <c r="DB48" s="273"/>
      <c r="DC48" s="273"/>
      <c r="DD48" s="273"/>
      <c r="DE48" s="273"/>
      <c r="DF48" s="273"/>
      <c r="DG48" s="273"/>
      <c r="DH48" s="273"/>
      <c r="DI48" s="273"/>
      <c r="DJ48" s="273"/>
      <c r="DK48" s="273"/>
      <c r="DL48" s="273"/>
      <c r="DN48" s="254"/>
      <c r="DO48" s="254"/>
      <c r="DP48" s="254"/>
      <c r="DQ48" s="254"/>
      <c r="DR48" s="254"/>
      <c r="DS48" s="254"/>
      <c r="DT48" s="254"/>
      <c r="DU48" s="254"/>
      <c r="DV48" s="254"/>
      <c r="DW48" s="254"/>
      <c r="DX48" s="254"/>
      <c r="DY48" s="254"/>
      <c r="DZ48" s="254"/>
    </row>
    <row r="49" spans="90:130" x14ac:dyDescent="0.2">
      <c r="CL49" s="273"/>
      <c r="CM49" s="273"/>
      <c r="CN49" s="273"/>
      <c r="CO49" s="273"/>
      <c r="CP49" s="273"/>
      <c r="CQ49" s="273"/>
      <c r="CR49" s="273"/>
      <c r="CS49" s="273"/>
      <c r="CT49" s="273"/>
      <c r="CU49" s="273"/>
      <c r="CV49" s="273"/>
      <c r="CW49" s="273"/>
      <c r="CX49" s="273"/>
      <c r="CZ49" s="273"/>
      <c r="DA49" s="273"/>
      <c r="DB49" s="273"/>
      <c r="DC49" s="273"/>
      <c r="DD49" s="273"/>
      <c r="DE49" s="273"/>
      <c r="DF49" s="273"/>
      <c r="DG49" s="273"/>
      <c r="DH49" s="273"/>
      <c r="DI49" s="273"/>
      <c r="DJ49" s="273"/>
      <c r="DK49" s="273"/>
      <c r="DL49" s="273"/>
      <c r="DN49" s="254"/>
      <c r="DO49" s="254"/>
      <c r="DP49" s="254"/>
      <c r="DQ49" s="254"/>
      <c r="DR49" s="254"/>
      <c r="DS49" s="254"/>
      <c r="DT49" s="254"/>
      <c r="DU49" s="254"/>
      <c r="DV49" s="254"/>
      <c r="DW49" s="254"/>
      <c r="DX49" s="254"/>
      <c r="DY49" s="254"/>
      <c r="DZ49" s="254"/>
    </row>
  </sheetData>
  <autoFilter ref="B5:C13" xr:uid="{00000000-0001-0000-1A00-000000000000}"/>
  <mergeCells count="22">
    <mergeCell ref="GF2:GR3"/>
    <mergeCell ref="AH2:AT2"/>
    <mergeCell ref="AV2:BH2"/>
    <mergeCell ref="BJ2:BV2"/>
    <mergeCell ref="BX2:CJ2"/>
    <mergeCell ref="CL2:CX2"/>
    <mergeCell ref="CZ2:DL2"/>
    <mergeCell ref="DN2:DZ3"/>
    <mergeCell ref="EB2:EN3"/>
    <mergeCell ref="EP2:FB3"/>
    <mergeCell ref="FD2:FP3"/>
    <mergeCell ref="E2:Q2"/>
    <mergeCell ref="E4:Q4"/>
    <mergeCell ref="S2:AE2"/>
    <mergeCell ref="S4:AE4"/>
    <mergeCell ref="FR2:GD3"/>
    <mergeCell ref="CZ4:DL4"/>
    <mergeCell ref="AH4:AT4"/>
    <mergeCell ref="AV4:BH4"/>
    <mergeCell ref="BJ4:BV4"/>
    <mergeCell ref="BX4:CJ4"/>
    <mergeCell ref="CL4:CX4"/>
  </mergeCells>
  <phoneticPr fontId="65" type="noConversion"/>
  <pageMargins left="0.59055118110236227" right="0.39370078740157483" top="0.39370078740157483" bottom="0.98425196850393704" header="0" footer="0"/>
  <pageSetup paperSize="5" scale="85" orientation="portrait" r:id="rId1"/>
  <headerFooter alignWithMargins="0"/>
  <colBreaks count="1" manualBreakCount="1">
    <brk id="86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8F35-61EB-4EE0-8E84-CD154F413CC0}">
  <sheetPr codeName="Hoja29"/>
  <dimension ref="A1:AO34"/>
  <sheetViews>
    <sheetView topLeftCell="X1" workbookViewId="0">
      <pane ySplit="2" topLeftCell="A3" activePane="bottomLeft" state="frozen"/>
      <selection activeCell="M17" sqref="M17"/>
      <selection pane="bottomLeft" activeCell="AO22" sqref="AO22"/>
    </sheetView>
  </sheetViews>
  <sheetFormatPr baseColWidth="10" defaultRowHeight="12.75" x14ac:dyDescent="0.2"/>
  <cols>
    <col min="1" max="1" width="5.42578125" style="246" customWidth="1"/>
    <col min="2" max="2" width="9" style="246" bestFit="1" customWidth="1"/>
    <col min="3" max="3" width="31.5703125" style="246" customWidth="1"/>
    <col min="4" max="4" width="2" style="247" customWidth="1"/>
    <col min="5" max="5" width="17.42578125" style="247" hidden="1" customWidth="1"/>
    <col min="6" max="6" width="14.28515625" style="247" hidden="1" customWidth="1"/>
    <col min="7" max="9" width="16.5703125" style="246" hidden="1" customWidth="1"/>
    <col min="10" max="10" width="12.140625" style="246" hidden="1" customWidth="1"/>
    <col min="11" max="11" width="12.7109375" style="247" hidden="1" customWidth="1"/>
    <col min="12" max="13" width="16" style="247" hidden="1" customWidth="1"/>
    <col min="14" max="14" width="10.85546875" hidden="1" customWidth="1"/>
    <col min="15" max="15" width="9.42578125" bestFit="1" customWidth="1"/>
    <col min="16" max="16" width="9" bestFit="1" customWidth="1"/>
    <col min="17" max="17" width="11.140625" bestFit="1" customWidth="1"/>
    <col min="18" max="18" width="11.140625" customWidth="1"/>
    <col min="19" max="19" width="8.140625" bestFit="1" customWidth="1"/>
    <col min="20" max="20" width="10.5703125" bestFit="1" customWidth="1"/>
    <col min="21" max="21" width="10.28515625" bestFit="1" customWidth="1"/>
    <col min="22" max="22" width="11.28515625" bestFit="1" customWidth="1"/>
    <col min="23" max="23" width="10.85546875" bestFit="1" customWidth="1"/>
    <col min="24" max="24" width="9.42578125" bestFit="1" customWidth="1"/>
    <col min="25" max="25" width="9" bestFit="1" customWidth="1"/>
    <col min="26" max="26" width="11.140625" bestFit="1" customWidth="1"/>
    <col min="27" max="27" width="8.140625" bestFit="1" customWidth="1"/>
    <col min="28" max="28" width="10.5703125" bestFit="1" customWidth="1"/>
    <col min="29" max="29" width="10.28515625" bestFit="1" customWidth="1"/>
    <col min="30" max="30" width="11.28515625" bestFit="1" customWidth="1"/>
    <col min="31" max="31" width="10.85546875" bestFit="1" customWidth="1"/>
    <col min="32" max="32" width="9.42578125" bestFit="1" customWidth="1"/>
    <col min="33" max="33" width="9" bestFit="1" customWidth="1"/>
    <col min="34" max="34" width="11.140625" bestFit="1" customWidth="1"/>
    <col min="35" max="35" width="8.140625" bestFit="1" customWidth="1"/>
    <col min="36" max="36" width="10.5703125" bestFit="1" customWidth="1"/>
    <col min="37" max="37" width="10.28515625" bestFit="1" customWidth="1"/>
    <col min="38" max="38" width="11.28515625" bestFit="1" customWidth="1"/>
    <col min="39" max="39" width="10.85546875" bestFit="1" customWidth="1"/>
  </cols>
  <sheetData>
    <row r="1" spans="2:41" ht="30.75" customHeight="1" thickBot="1" x14ac:dyDescent="0.25">
      <c r="E1" s="1044" t="s">
        <v>450</v>
      </c>
      <c r="F1" s="1045"/>
      <c r="G1" s="1045"/>
      <c r="H1" s="1045"/>
      <c r="I1" s="1045"/>
      <c r="J1" s="1045"/>
      <c r="K1" s="1045"/>
      <c r="L1" s="1045"/>
      <c r="M1" s="1045"/>
      <c r="N1" s="1046"/>
      <c r="O1" s="1047" t="s">
        <v>451</v>
      </c>
      <c r="P1" s="1048"/>
      <c r="Q1" s="1048"/>
      <c r="R1" s="1048"/>
      <c r="S1" s="1048"/>
      <c r="T1" s="1048"/>
      <c r="U1" s="1048"/>
      <c r="V1" s="1048"/>
      <c r="W1" s="1049"/>
      <c r="X1" s="1051" t="s">
        <v>452</v>
      </c>
      <c r="Y1" s="1052"/>
      <c r="Z1" s="1052"/>
      <c r="AA1" s="1052"/>
      <c r="AB1" s="1052"/>
      <c r="AC1" s="1052"/>
      <c r="AD1" s="1052"/>
      <c r="AE1" s="1052"/>
      <c r="AF1" s="1053"/>
      <c r="AG1" s="1050" t="s">
        <v>453</v>
      </c>
      <c r="AH1" s="1050"/>
      <c r="AI1" s="1050"/>
      <c r="AJ1" s="1050"/>
      <c r="AK1" s="1050"/>
      <c r="AL1" s="1050"/>
      <c r="AM1" s="1050"/>
      <c r="AN1" s="1050"/>
      <c r="AO1" s="1050"/>
    </row>
    <row r="2" spans="2:41" ht="144.75" thickBot="1" x14ac:dyDescent="0.25">
      <c r="C2" s="250" t="str">
        <f>+NOMBRE!B7</f>
        <v>ENERO - OCTUBRE 2024</v>
      </c>
      <c r="D2" s="692"/>
      <c r="E2" s="693" t="s">
        <v>480</v>
      </c>
      <c r="F2" s="694" t="s">
        <v>481</v>
      </c>
      <c r="G2" s="695" t="s">
        <v>494</v>
      </c>
      <c r="H2" s="695" t="s">
        <v>495</v>
      </c>
      <c r="I2" s="695"/>
      <c r="J2" s="695" t="s">
        <v>482</v>
      </c>
      <c r="K2" s="695" t="s">
        <v>483</v>
      </c>
      <c r="L2" s="695" t="s">
        <v>478</v>
      </c>
      <c r="M2" s="695" t="s">
        <v>484</v>
      </c>
      <c r="N2" s="696" t="s">
        <v>485</v>
      </c>
      <c r="O2" s="299" t="s">
        <v>217</v>
      </c>
      <c r="P2" s="299" t="s">
        <v>218</v>
      </c>
      <c r="Q2" s="695" t="s">
        <v>522</v>
      </c>
      <c r="R2" s="695" t="s">
        <v>523</v>
      </c>
      <c r="S2" s="695" t="s">
        <v>482</v>
      </c>
      <c r="T2" s="695" t="s">
        <v>483</v>
      </c>
      <c r="U2" s="298" t="s">
        <v>524</v>
      </c>
      <c r="V2" s="298" t="s">
        <v>424</v>
      </c>
      <c r="W2" s="815" t="s">
        <v>529</v>
      </c>
      <c r="X2" s="820" t="s">
        <v>217</v>
      </c>
      <c r="Y2" s="299" t="s">
        <v>218</v>
      </c>
      <c r="Z2" s="695" t="s">
        <v>522</v>
      </c>
      <c r="AA2" s="695" t="s">
        <v>523</v>
      </c>
      <c r="AB2" s="695" t="s">
        <v>482</v>
      </c>
      <c r="AC2" s="695" t="s">
        <v>483</v>
      </c>
      <c r="AD2" s="298" t="s">
        <v>524</v>
      </c>
      <c r="AE2" s="298" t="s">
        <v>424</v>
      </c>
      <c r="AF2" s="821" t="s">
        <v>425</v>
      </c>
      <c r="AG2" s="299" t="s">
        <v>217</v>
      </c>
      <c r="AH2" s="299" t="s">
        <v>218</v>
      </c>
      <c r="AI2" s="695" t="s">
        <v>522</v>
      </c>
      <c r="AJ2" s="695" t="s">
        <v>523</v>
      </c>
      <c r="AK2" s="695" t="s">
        <v>482</v>
      </c>
      <c r="AL2" s="695" t="s">
        <v>483</v>
      </c>
      <c r="AM2" s="298" t="s">
        <v>524</v>
      </c>
      <c r="AN2" s="298" t="s">
        <v>424</v>
      </c>
      <c r="AO2" s="300" t="s">
        <v>425</v>
      </c>
    </row>
    <row r="3" spans="2:41" ht="6" customHeight="1" thickBot="1" x14ac:dyDescent="0.25">
      <c r="E3" s="699"/>
      <c r="F3" s="700"/>
      <c r="G3" s="701"/>
      <c r="H3" s="701"/>
      <c r="I3" s="701"/>
      <c r="J3" s="701"/>
      <c r="K3" s="700"/>
      <c r="L3" s="700"/>
      <c r="M3" s="700"/>
      <c r="N3" s="702"/>
      <c r="X3" s="822"/>
      <c r="Y3" s="823"/>
      <c r="Z3" s="823"/>
      <c r="AA3" s="823"/>
      <c r="AB3" s="823"/>
      <c r="AC3" s="823"/>
      <c r="AD3" s="823"/>
      <c r="AE3" s="823"/>
      <c r="AF3" s="702"/>
    </row>
    <row r="4" spans="2:41" ht="6" customHeight="1" x14ac:dyDescent="0.2">
      <c r="E4" s="301"/>
      <c r="F4" s="302"/>
      <c r="G4" s="302"/>
      <c r="H4" s="302"/>
      <c r="I4" s="302"/>
      <c r="J4" s="302"/>
      <c r="K4" s="302"/>
      <c r="L4" s="302"/>
      <c r="M4" s="302"/>
      <c r="N4" s="303"/>
      <c r="O4" s="697"/>
      <c r="P4" s="303"/>
      <c r="Q4" s="303"/>
      <c r="R4" s="303"/>
      <c r="S4" s="303"/>
      <c r="T4" s="303"/>
      <c r="U4" s="303"/>
      <c r="V4" s="303"/>
      <c r="W4" s="816"/>
      <c r="X4" s="824"/>
      <c r="Y4" s="303"/>
      <c r="Z4" s="303"/>
      <c r="AA4" s="303"/>
      <c r="AB4" s="303"/>
      <c r="AC4" s="303"/>
      <c r="AD4" s="303"/>
      <c r="AE4" s="303"/>
      <c r="AF4" s="303"/>
      <c r="AG4" s="697"/>
      <c r="AH4" s="303"/>
      <c r="AI4" s="303"/>
      <c r="AJ4" s="303"/>
      <c r="AK4" s="303"/>
      <c r="AL4" s="303"/>
      <c r="AM4" s="303"/>
    </row>
    <row r="5" spans="2:41" ht="13.5" thickBot="1" x14ac:dyDescent="0.25">
      <c r="B5" s="290" t="s">
        <v>93</v>
      </c>
      <c r="C5" s="291" t="s">
        <v>94</v>
      </c>
      <c r="E5" s="623"/>
      <c r="F5" s="624"/>
      <c r="G5" s="624"/>
      <c r="H5" s="624"/>
      <c r="I5" s="624"/>
      <c r="J5" s="624"/>
      <c r="K5" s="624"/>
      <c r="L5" s="624"/>
      <c r="M5" s="624"/>
      <c r="N5" s="625"/>
      <c r="O5" s="698"/>
      <c r="P5" s="625"/>
      <c r="Q5" s="625"/>
      <c r="R5" s="625"/>
      <c r="S5" s="625"/>
      <c r="T5" s="625"/>
      <c r="U5" s="625"/>
      <c r="V5" s="625"/>
      <c r="W5" s="817"/>
      <c r="X5" s="830"/>
      <c r="Y5" s="831"/>
      <c r="Z5" s="831"/>
      <c r="AA5" s="831"/>
      <c r="AB5" s="831"/>
      <c r="AC5" s="831"/>
      <c r="AD5" s="831"/>
      <c r="AE5" s="831"/>
      <c r="AF5" s="831"/>
      <c r="AG5" s="698"/>
      <c r="AH5" s="625"/>
      <c r="AI5" s="625"/>
      <c r="AJ5" s="625"/>
      <c r="AK5" s="625"/>
      <c r="AL5" s="625"/>
      <c r="AM5" s="625"/>
    </row>
    <row r="6" spans="2:41" x14ac:dyDescent="0.2">
      <c r="B6" s="306">
        <v>107307</v>
      </c>
      <c r="C6" s="149" t="s">
        <v>95</v>
      </c>
      <c r="D6" s="304"/>
      <c r="E6" s="703">
        <f>'[86]ADU-ex-mar'!$E$20</f>
        <v>5784</v>
      </c>
      <c r="F6" s="691">
        <f>'[86]ADU-ex-mar'!$E$28</f>
        <v>2707</v>
      </c>
      <c r="G6" s="272">
        <f>SUM('[86]ADU-ex-mar'!$K$11,'[86]ADU-ex-mar'!$M$1:$M$11,'[86]ADU-ex-mar'!$O$11,'[86]ADU-ex-mar'!$Q$11,'[86]ADU-ex-mar'!$S$11,'[86]ADU-ex-mar'!$U$11,'[86]ADU-ex-mar'!$W$11)</f>
        <v>763</v>
      </c>
      <c r="H6" s="272">
        <f>SUM('[86]ADU-ex-mar'!$J$11,'[86]ADU-ex-mar'!$L$11,'[86]ADU-ex-mar'!$N$11,'[86]ADU-ex-mar'!$P$11,'[86]ADU-ex-mar'!$R$11,'[86]ADU-ex-mar'!$T$11,'[86]ADU-ex-mar'!$V$11)</f>
        <v>412</v>
      </c>
      <c r="I6" s="272"/>
      <c r="J6" s="618">
        <f>'[87]Mar-ex '!$D$13</f>
        <v>2600</v>
      </c>
      <c r="K6" s="618">
        <f>SUM('[88]Marzo-ex'!$W$10:$Z$10)</f>
        <v>232</v>
      </c>
      <c r="L6" s="618">
        <f>'[89]Marzo-ex'!$F$23</f>
        <v>171</v>
      </c>
      <c r="M6" s="618">
        <f>SUM('[89]Marzo-ex'!$G$64:$M$64)</f>
        <v>100</v>
      </c>
      <c r="N6" s="704">
        <f>'[88]Marzo-ex'!$D$34</f>
        <v>655</v>
      </c>
      <c r="O6" s="703">
        <f>'[90]ADU-ex-jun'!$E$20</f>
        <v>5783</v>
      </c>
      <c r="P6" s="691">
        <f>'[90]ADU-ex-jun'!$E$28</f>
        <v>2726</v>
      </c>
      <c r="Q6" s="272">
        <f>SUM('[90]ADU-ex-jun'!$K$11,'[90]ADU-ex-jun'!$M$11,'[90]ADU-ex-jun'!$O$11,'[90]ADU-ex-jun'!$Q$11,'[90]ADU-ex-jun'!$S$11,'[90]ADU-ex-jun'!$U$11,'[90]ADU-ex-jun'!$W$11,'[90]ADU-ex-jun'!$Y$11,'[90]ADU-ex-jun'!$AA$11)</f>
        <v>1854</v>
      </c>
      <c r="R6" s="272">
        <f>SUM('[90]ADU-ex-jun'!$J$11,'[90]ADU-ex-jun'!$L$11,'[90]ADU-ex-jun'!$N$11,'[90]ADU-ex-jun'!$P$11,'[90]ADU-ex-jun'!$R$11,'[90]ADU-ex-jun'!$T$11,'[90]ADU-ex-jun'!$V$11,'[90]ADU-ex-jun'!$X$11,'[90]ADU-ex-jun'!$Z$11)</f>
        <v>1046</v>
      </c>
      <c r="S6" s="618">
        <f>'[91]Jun-ex'!$D$13</f>
        <v>2642</v>
      </c>
      <c r="T6" s="618">
        <f>SUM('[92]Junio-ex'!$W$10:$Z$10)</f>
        <v>240</v>
      </c>
      <c r="U6" s="787">
        <f>'[93]Junio-ex'!$F$23</f>
        <v>196</v>
      </c>
      <c r="V6" s="618">
        <f>SUM('[93]Junio-ex'!$G$64:$M$64)</f>
        <v>119</v>
      </c>
      <c r="W6" s="818">
        <f>SUM('[92]Junio-ex'!$D$34,'[92]Junio-ex'!$G$69:$H$69)</f>
        <v>887</v>
      </c>
      <c r="X6" s="832">
        <f>'[94]ADU-ex-sept'!$E$20</f>
        <v>5881</v>
      </c>
      <c r="Y6" s="833">
        <f>'[94]ADU-ex-sept'!$E$28</f>
        <v>2774</v>
      </c>
      <c r="Z6" s="834">
        <f>SUM('[94]ADU-ex-sept'!$K$11,'[94]ADU-ex-sept'!$M$11,'[94]ADU-ex-sept'!$O$11,'[94]ADU-ex-sept'!$Q$11,'[94]ADU-ex-sept'!$S$11,'[94]ADU-ex-sept'!$U$11,'[94]ADU-ex-sept'!$W$11,'[94]ADU-ex-sept'!$Y$11,'[94]ADU-ex-sept'!$AA$11)</f>
        <v>1891</v>
      </c>
      <c r="AA6" s="834">
        <f>SUM('[94]ADU-ex-sept'!$J$11,'[94]ADU-ex-sept'!$L$11,'[94]ADU-ex-sept'!$N$11,'[94]ADU-ex-sept'!$P$11,'[94]ADU-ex-sept'!$R$11,'[94]ADU-ex-sept'!$T$11,'[94]ADU-ex-sept'!$V$11,'[94]ADU-ex-sept'!$X$11,'[94]ADU-ex-sept'!$Z$11)</f>
        <v>1057</v>
      </c>
      <c r="AB6" s="835">
        <f>'[95]Sept-ex'!$D$13</f>
        <v>2637</v>
      </c>
      <c r="AC6" s="835">
        <f>SUM('[96]Sept-ex'!$W$10:$Z$10)</f>
        <v>205</v>
      </c>
      <c r="AD6" s="836">
        <f>'[97]Sept-ex'!$F$23</f>
        <v>164</v>
      </c>
      <c r="AE6" s="618">
        <f>SUM('[97]Sept-ex'!$G$64:$M$64)</f>
        <v>111</v>
      </c>
      <c r="AF6" s="837">
        <f>SUM('[96]Sept-ex'!$D$34,'[96]Sept-ex'!$G$69:$H$69)</f>
        <v>841</v>
      </c>
      <c r="AG6" s="819"/>
      <c r="AH6" s="626"/>
      <c r="AI6" s="628"/>
      <c r="AJ6" s="627"/>
      <c r="AK6" s="626"/>
      <c r="AL6" s="626"/>
      <c r="AM6" s="626"/>
    </row>
    <row r="7" spans="2:41" x14ac:dyDescent="0.2">
      <c r="B7" s="306">
        <v>107308</v>
      </c>
      <c r="C7" s="149" t="s">
        <v>96</v>
      </c>
      <c r="D7" s="304"/>
      <c r="E7" s="703">
        <f>'[98]ADU-ex-mar'!$E$20</f>
        <v>3504</v>
      </c>
      <c r="F7" s="691">
        <f>'[98]ADU-ex-mar'!$E$28</f>
        <v>1664</v>
      </c>
      <c r="G7" s="272">
        <f>SUM('[98]ADU-ex-mar'!$K$11,'[98]ADU-ex-mar'!$M$1:$M$11,'[98]ADU-ex-mar'!$O$11,'[98]ADU-ex-mar'!$Q$11,'[98]ADU-ex-mar'!$S$11,'[98]ADU-ex-mar'!$U$11,'[98]ADU-ex-mar'!$W$11)</f>
        <v>500</v>
      </c>
      <c r="H7" s="272">
        <f>SUM('[98]ADU-ex-mar'!$J$11,'[98]ADU-ex-mar'!$L$11,'[98]ADU-ex-mar'!$N$11,'[98]ADU-ex-mar'!$P$11,'[98]ADU-ex-mar'!$R$11,'[98]ADU-ex-mar'!$T$11,'[98]ADU-ex-mar'!$V$11)</f>
        <v>226</v>
      </c>
      <c r="I7" s="272"/>
      <c r="J7" s="618">
        <f>'[99]Mar-ex '!$D$13</f>
        <v>1309</v>
      </c>
      <c r="K7" s="618">
        <f>SUM('[100]Marzo-ex'!$W$10:$Z$10)</f>
        <v>200</v>
      </c>
      <c r="L7" s="618">
        <f>'[101]Marzo-ex'!$F$23</f>
        <v>449</v>
      </c>
      <c r="M7" s="618">
        <f>SUM('[101]Marzo-ex'!$G$64:$M$64)</f>
        <v>89</v>
      </c>
      <c r="N7" s="704">
        <f>'[100]Marzo-ex'!$D$34</f>
        <v>603</v>
      </c>
      <c r="O7" s="703">
        <f>'[102]ADU-ex-jun'!$E$20</f>
        <v>3546</v>
      </c>
      <c r="P7" s="691">
        <f>'[102]ADU-ex-jun'!$E$28</f>
        <v>1710</v>
      </c>
      <c r="Q7" s="272">
        <f>SUM('[102]ADU-ex-jun'!$K$11,'[102]ADU-ex-jun'!$M$11,'[102]ADU-ex-jun'!$O$11,'[102]ADU-ex-jun'!$Q$11,'[102]ADU-ex-jun'!$S$11,'[102]ADU-ex-jun'!$U$11,'[102]ADU-ex-jun'!$W$11,'[102]ADU-ex-jun'!$Y$11,'[102]ADU-ex-jun'!$AA$11)</f>
        <v>1216</v>
      </c>
      <c r="R7" s="272">
        <f>SUM('[102]ADU-ex-jun'!$J$11,'[102]ADU-ex-jun'!$L$11,'[102]ADU-ex-jun'!$N$11,'[102]ADU-ex-jun'!$P$11,'[102]ADU-ex-jun'!$R$11,'[102]ADU-ex-jun'!$T$11,'[102]ADU-ex-jun'!$V$11,'[102]ADU-ex-jun'!$X$11,'[102]ADU-ex-jun'!$Z$11)</f>
        <v>558</v>
      </c>
      <c r="S7" s="618">
        <f>'[103]Jun-ex'!$D$13</f>
        <v>1285</v>
      </c>
      <c r="T7" s="618">
        <f>SUM('[104]Junio-ex'!$W$10:$Z$10)</f>
        <v>204</v>
      </c>
      <c r="U7" s="787">
        <f>'[105]Junio-ex'!$F$23</f>
        <v>465</v>
      </c>
      <c r="V7" s="618">
        <f>SUM('[101]Marzo-ex'!$G$64:$M$64)</f>
        <v>89</v>
      </c>
      <c r="W7" s="818">
        <f>SUM('[104]Junio-ex'!$D$34,'[104]Junio-ex'!$G$69:$H$69)</f>
        <v>672</v>
      </c>
      <c r="X7" s="703">
        <f>'[106]ADU-ex-sept'!$E$20</f>
        <v>3593</v>
      </c>
      <c r="Y7" s="691">
        <f>'[106]ADU-ex-sept'!$E$28</f>
        <v>1726</v>
      </c>
      <c r="Z7" s="272">
        <f>SUM('[106]ADU-ex-sept'!$K$11,'[106]ADU-ex-sept'!$M$11,'[106]ADU-ex-sept'!$O$11,'[106]ADU-ex-sept'!$Q$11,'[106]ADU-ex-sept'!$S$11,'[106]ADU-ex-sept'!$U$11,'[106]ADU-ex-sept'!$W$11,'[106]ADU-ex-sept'!$Y$11,'[106]ADU-ex-sept'!$AA$11)</f>
        <v>1217</v>
      </c>
      <c r="AA7" s="272">
        <f>SUM('[106]ADU-ex-sept'!$J$11,'[106]ADU-ex-sept'!$L$11,'[106]ADU-ex-sept'!$N$11,'[106]ADU-ex-sept'!$P$11,'[106]ADU-ex-sept'!$R$11,'[106]ADU-ex-sept'!$T$11,'[106]ADU-ex-sept'!$V$11,'[106]ADU-ex-sept'!$X$11,'[106]ADU-ex-sept'!$Z$11)</f>
        <v>561</v>
      </c>
      <c r="AB7" s="618">
        <f>'[107]Sept-ex'!$D$13</f>
        <v>1319</v>
      </c>
      <c r="AC7" s="618">
        <f>SUM('[108]Sept-ex'!$W$10:$Z$10)</f>
        <v>200</v>
      </c>
      <c r="AD7" s="787">
        <f>'[109]Sept-ex'!$F$23</f>
        <v>492</v>
      </c>
      <c r="AE7" s="618">
        <f>SUM('[101]Marzo-ex'!$G$64:$M$64)</f>
        <v>89</v>
      </c>
      <c r="AF7" s="704">
        <f>SUM('[108]Sept-ex'!$D$34,'[108]Sept-ex'!$G$69:$H$69)</f>
        <v>641</v>
      </c>
      <c r="AG7" s="819"/>
      <c r="AH7" s="626"/>
      <c r="AI7" s="628"/>
      <c r="AJ7" s="627"/>
      <c r="AK7" s="626"/>
      <c r="AL7" s="626"/>
      <c r="AM7" s="626"/>
    </row>
    <row r="8" spans="2:41" x14ac:dyDescent="0.2">
      <c r="B8" s="306">
        <v>107353</v>
      </c>
      <c r="C8" s="149" t="s">
        <v>97</v>
      </c>
      <c r="D8" s="304"/>
      <c r="E8" s="703">
        <f>'[110]ADU-ex-mar'!$E$20</f>
        <v>1891</v>
      </c>
      <c r="F8" s="691">
        <f>'[110]ADU-ex-mar'!$E$28</f>
        <v>772</v>
      </c>
      <c r="G8" s="272">
        <f>SUM('[110]ADU-ex-mar'!$K$11,'[110]ADU-ex-mar'!$M$1:$M$11,'[110]ADU-ex-mar'!$O$11,'[110]ADU-ex-mar'!$Q$11,'[110]ADU-ex-mar'!$S$11,'[110]ADU-ex-mar'!$U$11,'[110]ADU-ex-mar'!$W$11)</f>
        <v>304</v>
      </c>
      <c r="H8" s="272">
        <f>SUM('[110]ADU-ex-mar'!$J$11,'[110]ADU-ex-mar'!$L$11,'[110]ADU-ex-mar'!$N$11,'[110]ADU-ex-mar'!$P$11,'[110]ADU-ex-mar'!$R$11,'[110]ADU-ex-mar'!$T$11,'[110]ADU-ex-mar'!$V$11)</f>
        <v>147</v>
      </c>
      <c r="I8" s="272"/>
      <c r="J8" s="618">
        <f>'[111]Mar-ex '!$D$13</f>
        <v>848</v>
      </c>
      <c r="K8" s="618">
        <f>SUM('[112]Marzo-ex'!$W$10:$Z$10)</f>
        <v>145</v>
      </c>
      <c r="L8" s="618">
        <f>'[113]Marzo-ex'!$F$23</f>
        <v>164</v>
      </c>
      <c r="M8" s="618">
        <f>SUM('[113]Marzo-ex'!$G$64:$M$64)</f>
        <v>81</v>
      </c>
      <c r="N8" s="704">
        <f>'[112]Marzo-ex'!$D$34</f>
        <v>362</v>
      </c>
      <c r="O8" s="703">
        <f>'[114]ADU-ex-jun'!$E$20</f>
        <v>1967</v>
      </c>
      <c r="P8" s="691">
        <f>'[114]ADU-ex-jun'!$E$28</f>
        <v>861</v>
      </c>
      <c r="Q8" s="272">
        <f>SUM('[114]ADU-ex-jun'!$K$11,'[114]ADU-ex-jun'!$M$11,'[114]ADU-ex-jun'!$O$11,'[114]ADU-ex-jun'!$Q$11,'[114]ADU-ex-jun'!$S$11,'[114]ADU-ex-jun'!$U$11,'[114]ADU-ex-jun'!$W$11,'[114]ADU-ex-jun'!$Y$11,'[114]ADU-ex-jun'!$AA$11)</f>
        <v>723</v>
      </c>
      <c r="R8" s="272">
        <f>SUM('[114]ADU-ex-jun'!$J$11,'[114]ADU-ex-jun'!$L$11,'[114]ADU-ex-jun'!$N$11,'[114]ADU-ex-jun'!$P$11,'[114]ADU-ex-jun'!$R$11,'[114]ADU-ex-jun'!$T$11,'[114]ADU-ex-jun'!$V$11,'[114]ADU-ex-jun'!$X$11,'[114]ADU-ex-jun'!$Z$11)</f>
        <v>341</v>
      </c>
      <c r="S8" s="618">
        <f>'[115]Jun-ex'!$D$13</f>
        <v>848</v>
      </c>
      <c r="T8" s="618">
        <f>SUM('[116]Junio-ex'!$W$10:$Z$10)</f>
        <v>150</v>
      </c>
      <c r="U8" s="618">
        <f>'[117]Junio-ex'!$F$23</f>
        <v>180</v>
      </c>
      <c r="V8" s="618">
        <f>SUM('[117]Junio-ex'!$G$64:$M$64)</f>
        <v>81</v>
      </c>
      <c r="W8" s="818">
        <f>SUM('[116]Junio-ex'!$D$34,'[116]Junio-ex'!$G$69:$H$69)</f>
        <v>449</v>
      </c>
      <c r="X8" s="703">
        <f>'[118]ADU-ex-sept'!$E$20</f>
        <v>2179</v>
      </c>
      <c r="Y8" s="691">
        <f>'[118]ADU-ex-sept'!$E$28</f>
        <v>916</v>
      </c>
      <c r="Z8" s="272">
        <f>SUM('[118]ADU-ex-sept'!$K$11,'[118]ADU-ex-sept'!$M$11,'[118]ADU-ex-sept'!$O$11,'[118]ADU-ex-sept'!$Q$11,'[118]ADU-ex-sept'!$S$11,'[118]ADU-ex-sept'!$U$11,'[118]ADU-ex-sept'!$W$11,'[118]ADU-ex-sept'!$Y$11,'[118]ADU-ex-sept'!$AA$11)</f>
        <v>781</v>
      </c>
      <c r="AA8" s="272">
        <f>SUM('[118]ADU-ex-sept'!$J$11,'[118]ADU-ex-sept'!$L$11,'[118]ADU-ex-sept'!$N$11,'[118]ADU-ex-sept'!$P$11,'[118]ADU-ex-sept'!$R$11,'[118]ADU-ex-sept'!$T$11,'[118]ADU-ex-sept'!$V$11,'[118]ADU-ex-sept'!$X$11,'[118]ADU-ex-sept'!$Z$11)</f>
        <v>341</v>
      </c>
      <c r="AB8" s="618">
        <f>'[119]Sept-ex'!$D$13</f>
        <v>847</v>
      </c>
      <c r="AC8" s="618">
        <f>SUM('[120]Sept-ex'!$W$10:$Z$10)</f>
        <v>171</v>
      </c>
      <c r="AD8" s="618">
        <f>'[121]Sept-ex'!$F$23</f>
        <v>184</v>
      </c>
      <c r="AE8" s="618">
        <f>SUM('[121]Sept-ex'!$G$64:$M$64)</f>
        <v>66</v>
      </c>
      <c r="AF8" s="704">
        <f>SUM('[120]Sept-ex'!$D$34,'[120]Sept-ex'!$G$69:$H$69)</f>
        <v>545</v>
      </c>
      <c r="AG8" s="819"/>
      <c r="AH8" s="626"/>
      <c r="AI8" s="628"/>
      <c r="AJ8" s="627"/>
      <c r="AK8" s="626"/>
      <c r="AL8" s="626"/>
      <c r="AM8" s="626"/>
    </row>
    <row r="9" spans="2:41" x14ac:dyDescent="0.2">
      <c r="B9" s="306">
        <v>107356</v>
      </c>
      <c r="C9" s="149" t="s">
        <v>98</v>
      </c>
      <c r="D9" s="304"/>
      <c r="E9" s="703">
        <f>'[122]ADU-ex-mar'!$E$20</f>
        <v>2883</v>
      </c>
      <c r="F9" s="691">
        <f>'[122]ADU-ex-mar'!$E$28</f>
        <v>1351</v>
      </c>
      <c r="G9" s="272">
        <f>SUM('[122]ADU-ex-mar'!$K$11,'[122]ADU-ex-mar'!$M$1:$M$11,'[122]ADU-ex-mar'!$O$11,'[122]ADU-ex-mar'!$Q$11,'[122]ADU-ex-mar'!$S$11,'[122]ADU-ex-mar'!$U$11,'[122]ADU-ex-mar'!$W$11)</f>
        <v>512</v>
      </c>
      <c r="H9" s="272">
        <f>SUM('[122]ADU-ex-mar'!$J$11,'[122]ADU-ex-mar'!$L$11,'[122]ADU-ex-mar'!$N$11,'[122]ADU-ex-mar'!$P$11,'[122]ADU-ex-mar'!$R$11,'[122]ADU-ex-mar'!$T$11,'[122]ADU-ex-mar'!$V$11)</f>
        <v>210</v>
      </c>
      <c r="I9" s="272"/>
      <c r="J9" s="618">
        <f>'[123]Mar-ex '!$D$13</f>
        <v>763</v>
      </c>
      <c r="K9" s="618">
        <f>SUM('[124]Marzo-ex'!$W$10:$Z$10)</f>
        <v>176</v>
      </c>
      <c r="L9" s="618">
        <f>'[125]Marzo-ex'!$F$23</f>
        <v>235</v>
      </c>
      <c r="M9" s="618">
        <f>SUM('[125]Marzo-ex'!$G$64:$M$64)</f>
        <v>81</v>
      </c>
      <c r="N9" s="704">
        <f>'[124]Marzo-ex'!$D$34</f>
        <v>498</v>
      </c>
      <c r="O9" s="703">
        <f>'[126]ADU-ex-jun'!$E$20</f>
        <v>2825</v>
      </c>
      <c r="P9" s="691">
        <f>'[126]ADU-ex-jun'!$E$28</f>
        <v>1337</v>
      </c>
      <c r="Q9" s="272">
        <f>SUM('[126]ADU-ex-jun'!$K$11,'[126]ADU-ex-jun'!$M$11,'[126]ADU-ex-jun'!$O$11,'[126]ADU-ex-jun'!$Q$11,'[126]ADU-ex-jun'!$S$11,'[126]ADU-ex-jun'!$U$11,'[126]ADU-ex-jun'!$W$11,'[126]ADU-ex-jun'!$Y$11,'[126]ADU-ex-jun'!$AA$11)</f>
        <v>1022</v>
      </c>
      <c r="R9" s="272">
        <f>SUM('[126]ADU-ex-jun'!$J$11,'[126]ADU-ex-jun'!$L$11,'[126]ADU-ex-jun'!$N$11,'[126]ADU-ex-jun'!$P$11,'[126]ADU-ex-jun'!$R$11,'[126]ADU-ex-jun'!$T$11,'[126]ADU-ex-jun'!$V$11,'[126]ADU-ex-jun'!$X$11,'[126]ADU-ex-jun'!$Z$11)</f>
        <v>524</v>
      </c>
      <c r="S9" s="618">
        <f>'[127]Jun-ex'!$D$13</f>
        <v>881</v>
      </c>
      <c r="T9" s="618">
        <f>SUM('[128]Junio-ex'!$W$10:$Z$10)</f>
        <v>147</v>
      </c>
      <c r="U9" s="618">
        <f>'[129]Junio-ex'!$F$23</f>
        <v>249</v>
      </c>
      <c r="V9" s="618">
        <f>SUM('[129]Junio-ex'!$G$64:$M$64)</f>
        <v>82</v>
      </c>
      <c r="W9" s="818">
        <f>SUM('[128]Junio-ex'!$D$34,'[128]Junio-ex'!$G$69:$H$69)</f>
        <v>547</v>
      </c>
      <c r="X9" s="703">
        <f>'[130]ADU-ex-sept'!$E$20</f>
        <v>2836</v>
      </c>
      <c r="Y9" s="691">
        <f>'[130]ADU-ex-sept'!$E$28</f>
        <v>1360</v>
      </c>
      <c r="Z9" s="272">
        <f>SUM('[130]ADU-ex-sept'!$K$11,'[130]ADU-ex-sept'!$M$11,'[130]ADU-ex-sept'!$O$11,'[130]ADU-ex-sept'!$Q$11,'[130]ADU-ex-sept'!$S$11,'[130]ADU-ex-sept'!$U$11,'[130]ADU-ex-sept'!$W$11,'[130]ADU-ex-sept'!$Y$11,'[130]ADU-ex-sept'!$AA$11)</f>
        <v>1033</v>
      </c>
      <c r="AA9" s="272">
        <f>SUM('[130]ADU-ex-sept'!$J$11,'[130]ADU-ex-sept'!$L$11,'[130]ADU-ex-sept'!$N$11,'[130]ADU-ex-sept'!$P$11,'[130]ADU-ex-sept'!$R$11,'[130]ADU-ex-sept'!$T$11,'[130]ADU-ex-sept'!$V$11,'[130]ADU-ex-sept'!$X$11,'[130]ADU-ex-sept'!$Z$11)</f>
        <v>513</v>
      </c>
      <c r="AB9" s="618">
        <f>'[131]Sept-ex'!$D$13</f>
        <v>1003</v>
      </c>
      <c r="AC9" s="618">
        <f>SUM('[132]Sept-ex'!$W$10:$Z$10)</f>
        <v>163</v>
      </c>
      <c r="AD9" s="618">
        <f>'[133]Sept-ex'!$F$23</f>
        <v>248</v>
      </c>
      <c r="AE9" s="618">
        <f>SUM('[133]Sept-ex'!$G$64:$M$64)</f>
        <v>58</v>
      </c>
      <c r="AF9" s="704">
        <f>SUM('[132]Sept-ex'!$D$34,'[132]Sept-ex'!$G$69:$H$69)</f>
        <v>536</v>
      </c>
      <c r="AG9" s="819"/>
      <c r="AH9" s="626"/>
      <c r="AI9" s="628"/>
      <c r="AJ9" s="627"/>
      <c r="AK9" s="626"/>
      <c r="AL9" s="626"/>
      <c r="AM9" s="626"/>
    </row>
    <row r="10" spans="2:41" x14ac:dyDescent="0.2">
      <c r="B10" s="306">
        <v>107357</v>
      </c>
      <c r="C10" s="149" t="s">
        <v>99</v>
      </c>
      <c r="D10" s="304"/>
      <c r="E10" s="703">
        <f>'[134]ADU-ex-mar'!$E$20</f>
        <v>2779</v>
      </c>
      <c r="F10" s="691">
        <f>'[134]ADU-ex-mar'!$E$28</f>
        <v>1182</v>
      </c>
      <c r="G10" s="272">
        <f>SUM('[134]ADU-ex-mar'!$K$11,'[134]ADU-ex-mar'!$M$1:$M$11,'[134]ADU-ex-mar'!$O$11,'[134]ADU-ex-mar'!$Q$11,'[134]ADU-ex-mar'!$S$11,'[134]ADU-ex-mar'!$U$11,'[134]ADU-ex-mar'!$W$11)</f>
        <v>529</v>
      </c>
      <c r="H10" s="272">
        <f>SUM('[134]ADU-ex-mar'!$J$11,'[134]ADU-ex-mar'!$L$11,'[134]ADU-ex-mar'!$N$11,'[134]ADU-ex-mar'!$P$11,'[134]ADU-ex-mar'!$R$11,'[134]ADU-ex-mar'!$T$11,'[134]ADU-ex-mar'!$V$11)</f>
        <v>231</v>
      </c>
      <c r="I10" s="272"/>
      <c r="J10" s="618">
        <f>'[135]Mar-ex '!$D$13</f>
        <v>1732</v>
      </c>
      <c r="K10" s="618">
        <f>SUM('[136]Marzo-ex'!$W$10:$Z$10)</f>
        <v>172</v>
      </c>
      <c r="L10" s="618">
        <f>'[137]Marzo-ex'!$F$23</f>
        <v>489</v>
      </c>
      <c r="M10" s="618">
        <f>SUM('[137]Marzo-ex'!$G$64:$M$64)</f>
        <v>80</v>
      </c>
      <c r="N10" s="704">
        <f>'[136]Marzo-ex'!$D$34</f>
        <v>508</v>
      </c>
      <c r="O10" s="703">
        <f>'[138]ADU-ex-jun'!$E$20</f>
        <v>2846</v>
      </c>
      <c r="P10" s="691">
        <f>'[138]ADU-ex-jun'!$E$28</f>
        <v>1211</v>
      </c>
      <c r="Q10" s="272">
        <f>SUM('[138]ADU-ex-jun'!$K$11,'[138]ADU-ex-jun'!$M$11,'[138]ADU-ex-jun'!$O$11,'[138]ADU-ex-jun'!$Q$11,'[138]ADU-ex-jun'!$S$11,'[138]ADU-ex-jun'!$U$11,'[138]ADU-ex-jun'!$W$11,'[138]ADU-ex-jun'!$Y$11,'[138]ADU-ex-jun'!$AA$11)</f>
        <v>1093</v>
      </c>
      <c r="R10" s="272">
        <f>SUM('[138]ADU-ex-jun'!$J$11,'[138]ADU-ex-jun'!$L$11,'[138]ADU-ex-jun'!$N$11,'[138]ADU-ex-jun'!$P$11,'[138]ADU-ex-jun'!$R$11,'[138]ADU-ex-jun'!$T$11,'[138]ADU-ex-jun'!$V$11,'[138]ADU-ex-jun'!$X$11,'[138]ADU-ex-jun'!$Z$11)</f>
        <v>534</v>
      </c>
      <c r="S10" s="618">
        <f>'[139]Jun-ex'!$D$13</f>
        <v>1875</v>
      </c>
      <c r="T10" s="618">
        <f>SUM('[140]Junio-ex'!$W$10:$Z$10)</f>
        <v>142</v>
      </c>
      <c r="U10" s="618">
        <f>'[141]Junio-ex'!$F$23</f>
        <v>502</v>
      </c>
      <c r="V10" s="618">
        <f>SUM('[141]Junio-ex'!$G$64:$M$64)</f>
        <v>69</v>
      </c>
      <c r="W10" s="818">
        <f>SUM('[140]Junio-ex'!$D$34,'[140]Junio-ex'!$G$69:$H$69)</f>
        <v>559</v>
      </c>
      <c r="X10" s="703">
        <f>'[142]ADU-ex-sept'!$E$20</f>
        <v>2894</v>
      </c>
      <c r="Y10" s="691">
        <f>'[142]ADU-ex-sept'!$E$28</f>
        <v>1271</v>
      </c>
      <c r="Z10" s="272">
        <f>SUM('[142]ADU-ex-sept'!$K$11,'[142]ADU-ex-sept'!$M$11,'[142]ADU-ex-sept'!$O$11,'[142]ADU-ex-sept'!$Q$11,'[142]ADU-ex-sept'!$S$11,'[142]ADU-ex-sept'!$U$11,'[142]ADU-ex-sept'!$W$11,'[142]ADU-ex-sept'!$Y$11,'[142]ADU-ex-sept'!$AA$11)</f>
        <v>1113</v>
      </c>
      <c r="AA10" s="272">
        <f>SUM('[142]ADU-ex-sept'!$J$11,'[142]ADU-ex-sept'!$L$11,'[142]ADU-ex-sept'!$N$11,'[142]ADU-ex-sept'!$P$11,'[142]ADU-ex-sept'!$R$11,'[142]ADU-ex-sept'!$T$11,'[142]ADU-ex-sept'!$V$11,'[142]ADU-ex-sept'!$X$11,'[142]ADU-ex-sept'!$Z$11)</f>
        <v>545</v>
      </c>
      <c r="AB10" s="618">
        <f>'[143]Sept-ex'!$D$13</f>
        <v>2025</v>
      </c>
      <c r="AC10" s="618">
        <f>SUM('[144]Sept-ex'!$W$10:$Z$10)</f>
        <v>151</v>
      </c>
      <c r="AD10" s="618">
        <f>'[145]Sept-ex'!$F$23</f>
        <v>520</v>
      </c>
      <c r="AE10" s="618">
        <f>SUM('[145]Sept-ex'!$G$64:$M$64)</f>
        <v>77</v>
      </c>
      <c r="AF10" s="704">
        <f>SUM('[144]Sept-ex'!$D$34,'[144]Sept-ex'!$G$69:$H$69)</f>
        <v>533</v>
      </c>
      <c r="AG10" s="819"/>
      <c r="AH10" s="626"/>
      <c r="AI10" s="628"/>
      <c r="AJ10" s="627"/>
      <c r="AK10" s="626"/>
      <c r="AL10" s="626"/>
      <c r="AM10" s="626"/>
    </row>
    <row r="11" spans="2:41" x14ac:dyDescent="0.2">
      <c r="B11" s="306">
        <v>107400</v>
      </c>
      <c r="C11" s="149" t="s">
        <v>100</v>
      </c>
      <c r="D11" s="304"/>
      <c r="E11" s="703">
        <f>'[146]ADU-ex-mar'!$E$20</f>
        <v>136</v>
      </c>
      <c r="F11" s="691">
        <f>'[146]ADU-ex-mar'!$E$28</f>
        <v>47</v>
      </c>
      <c r="G11" s="272">
        <f>SUM('[146]ADU-ex-mar'!$K$11,'[146]ADU-ex-mar'!$M$1:$M$11,'[146]ADU-ex-mar'!$O$11,'[146]ADU-ex-mar'!$Q$11,'[146]ADU-ex-mar'!$S$11,'[146]ADU-ex-mar'!$U$11,'[146]ADU-ex-mar'!$W$11)</f>
        <v>15</v>
      </c>
      <c r="H11" s="272">
        <f>SUM('[146]ADU-ex-mar'!$J$11,'[146]ADU-ex-mar'!$L$11,'[146]ADU-ex-mar'!$N$11,'[146]ADU-ex-mar'!$P$11,'[146]ADU-ex-mar'!$R$11,'[146]ADU-ex-mar'!$T$11,'[146]ADU-ex-mar'!$V$11)</f>
        <v>5</v>
      </c>
      <c r="I11" s="272"/>
      <c r="J11" s="618">
        <f>'[147]Mar-ex '!$D$13</f>
        <v>26</v>
      </c>
      <c r="K11" s="618">
        <f>SUM('[148]Marzo-ex'!$W$10:$Z$10)</f>
        <v>2</v>
      </c>
      <c r="L11" s="618">
        <f>'[149]Marzo-ex'!$F$23</f>
        <v>0</v>
      </c>
      <c r="M11" s="618">
        <f>SUM('[149]Marzo-ex'!$G$64:$M$64)</f>
        <v>1</v>
      </c>
      <c r="N11" s="704">
        <f>'[148]Marzo-ex'!$D$34</f>
        <v>9</v>
      </c>
      <c r="O11" s="703">
        <f>'[150]ADU-ex-jun'!$E$20</f>
        <v>135</v>
      </c>
      <c r="P11" s="691">
        <f>'[150]ADU-ex-jun'!$E$28</f>
        <v>47</v>
      </c>
      <c r="Q11" s="272">
        <f>SUM('[150]ADU-ex-jun'!$K$11,'[150]ADU-ex-jun'!$M$11,'[150]ADU-ex-jun'!$O$11,'[150]ADU-ex-jun'!$Q$11,'[150]ADU-ex-jun'!$S$11,'[150]ADU-ex-jun'!$U$11,'[150]ADU-ex-jun'!$W$11,'[150]ADU-ex-jun'!$Y$11,'[150]ADU-ex-jun'!$AA$11)</f>
        <v>40</v>
      </c>
      <c r="R11" s="272">
        <f>SUM('[150]ADU-ex-jun'!$J$11,'[150]ADU-ex-jun'!$L$11,'[150]ADU-ex-jun'!$N$11,'[150]ADU-ex-jun'!$P$11,'[150]ADU-ex-jun'!$R$11,'[150]ADU-ex-jun'!$T$11,'[150]ADU-ex-jun'!$V$11,'[150]ADU-ex-jun'!$X$11,'[150]ADU-ex-jun'!$Z$11)</f>
        <v>28</v>
      </c>
      <c r="S11" s="618">
        <f>'[151]Jun-ex'!$D$13</f>
        <v>23</v>
      </c>
      <c r="T11" s="618">
        <f>SUM('[152]Junio-ex'!$W$10:$Z$10)</f>
        <v>1</v>
      </c>
      <c r="U11" s="618">
        <f>'[153]Junio-ex'!$F$23</f>
        <v>0</v>
      </c>
      <c r="V11" s="618">
        <f>SUM('[153]Junio-ex'!$G$64:$M$64)</f>
        <v>0</v>
      </c>
      <c r="W11" s="818">
        <f>SUM('[152]Junio-ex'!$D$34,'[152]Junio-ex'!$G$69:$H$69)</f>
        <v>8</v>
      </c>
      <c r="X11" s="703">
        <f>'[154]ADU-ex-sept'!$E$20</f>
        <v>136</v>
      </c>
      <c r="Y11" s="691">
        <f>'[154]ADU-ex-sept'!$E$28</f>
        <v>46</v>
      </c>
      <c r="Z11" s="272">
        <f>SUM('[154]ADU-ex-sept'!$K$11,'[154]ADU-ex-sept'!$M$11,'[154]ADU-ex-sept'!$O$11,'[154]ADU-ex-sept'!$Q$11,'[154]ADU-ex-sept'!$S$11,'[154]ADU-ex-sept'!$U$11,'[154]ADU-ex-sept'!$W$11,'[154]ADU-ex-sept'!$Y$11,'[154]ADU-ex-sept'!$AA$11)</f>
        <v>34</v>
      </c>
      <c r="AA11" s="272">
        <f>SUM('[154]ADU-ex-sept'!$J$11,'[154]ADU-ex-sept'!$L$11,'[154]ADU-ex-sept'!$N$11,'[154]ADU-ex-sept'!$P$11,'[154]ADU-ex-sept'!$R$11,'[154]ADU-ex-sept'!$T$11,'[154]ADU-ex-sept'!$V$11,'[154]ADU-ex-sept'!$X$11,'[154]ADU-ex-sept'!$Z$11)</f>
        <v>30</v>
      </c>
      <c r="AB11" s="618">
        <f>'[155]Sept-ex'!$D$13</f>
        <v>27</v>
      </c>
      <c r="AC11" s="618">
        <f>SUM('[156]Sept-ex'!$W$10:$Z$10)</f>
        <v>1</v>
      </c>
      <c r="AD11" s="618">
        <f>'[157]Sept-ex'!$F$23</f>
        <v>0</v>
      </c>
      <c r="AE11" s="618">
        <f>SUM('[157]Sept-ex'!$G$64:$M$64)</f>
        <v>0</v>
      </c>
      <c r="AF11" s="704">
        <f>SUM('[156]Sept-ex'!$D$34,'[156]Sept-ex'!$G$69:$H$69)</f>
        <v>8</v>
      </c>
      <c r="AG11" s="819"/>
      <c r="AH11" s="626"/>
      <c r="AI11" s="628"/>
      <c r="AJ11" s="627"/>
      <c r="AK11" s="626"/>
      <c r="AL11" s="626"/>
      <c r="AM11" s="626"/>
    </row>
    <row r="12" spans="2:41" ht="13.5" thickBot="1" x14ac:dyDescent="0.25">
      <c r="B12" s="305">
        <v>107756</v>
      </c>
      <c r="C12" s="151" t="s">
        <v>101</v>
      </c>
      <c r="D12" s="304"/>
      <c r="E12" s="703">
        <f>'[158]ADU-ex-mar'!$E$20</f>
        <v>830</v>
      </c>
      <c r="F12" s="691">
        <f>'[158]ADU-ex-mar'!$E$28</f>
        <v>414</v>
      </c>
      <c r="G12" s="272">
        <f>SUM('[158]ADU-ex-mar'!$K$11,'[158]ADU-ex-mar'!$M$1:$M$11,'[158]ADU-ex-mar'!$O$11,'[158]ADU-ex-mar'!$Q$11,'[158]ADU-ex-mar'!$S$11,'[158]ADU-ex-mar'!$U$11,'[158]ADU-ex-mar'!$W$11)</f>
        <v>110</v>
      </c>
      <c r="H12" s="272">
        <f>SUM('[158]ADU-ex-mar'!$J$11,'[158]ADU-ex-mar'!$L$11,'[158]ADU-ex-mar'!$N$11,'[158]ADU-ex-mar'!$P$11,'[158]ADU-ex-mar'!$R$11,'[158]ADU-ex-mar'!$T$11,'[158]ADU-ex-mar'!$V$11)</f>
        <v>61</v>
      </c>
      <c r="I12" s="272"/>
      <c r="J12" s="618">
        <f>'[159]Mar-ex '!$D$13</f>
        <v>427</v>
      </c>
      <c r="K12" s="618">
        <f>SUM('[160]Marzo-ex'!$W$10:$Z$10)</f>
        <v>48</v>
      </c>
      <c r="L12" s="618">
        <f>'[161]Marzo-ex'!$F$23</f>
        <v>115</v>
      </c>
      <c r="M12" s="618">
        <f>SUM('[161]Marzo-ex'!$G$64:$M$64)</f>
        <v>24</v>
      </c>
      <c r="N12" s="704">
        <f>'[160]Marzo-ex'!$D$34</f>
        <v>131</v>
      </c>
      <c r="O12" s="703">
        <f>'[162]ADU-ex-jun'!$E$20</f>
        <v>893</v>
      </c>
      <c r="P12" s="691">
        <f>'[162]ADU-ex-jun'!$E$28</f>
        <v>419</v>
      </c>
      <c r="Q12" s="272">
        <f>SUM('[162]ADU-ex-jun'!$K$11,'[162]ADU-ex-jun'!$M$11,'[162]ADU-ex-jun'!$O$11,'[162]ADU-ex-jun'!$Q$11,'[162]ADU-ex-jun'!$S$11,'[162]ADU-ex-jun'!$U$11,'[162]ADU-ex-jun'!$W$11,'[162]ADU-ex-jun'!$Y$11,'[162]ADU-ex-jun'!$AA$11)</f>
        <v>254</v>
      </c>
      <c r="R12" s="272">
        <f>SUM('[162]ADU-ex-jun'!$J$11,'[162]ADU-ex-jun'!$L$11,'[162]ADU-ex-jun'!$N$11,'[162]ADU-ex-jun'!$P$11,'[162]ADU-ex-jun'!$R$11,'[162]ADU-ex-jun'!$T$11,'[162]ADU-ex-jun'!$V$11,'[162]ADU-ex-jun'!$X$11,'[162]ADU-ex-jun'!$Z$11)</f>
        <v>139</v>
      </c>
      <c r="S12" s="618">
        <f>'[163]Jun-ex'!$D$13</f>
        <v>414</v>
      </c>
      <c r="T12" s="618">
        <f>SUM('[164]Junio-ex'!$W$10:$Z$10)</f>
        <v>56</v>
      </c>
      <c r="U12" s="618">
        <f>'[165]Junio-ex'!$F$23</f>
        <v>120</v>
      </c>
      <c r="V12" s="618">
        <f>SUM('[165]Junio-ex'!$G$64:$M$64)</f>
        <v>20</v>
      </c>
      <c r="W12" s="818">
        <f>SUM('[164]Junio-ex'!$D$34,'[164]Junio-ex'!$G$69:$H$69)</f>
        <v>171</v>
      </c>
      <c r="X12" s="825">
        <f>'[166]ADU-ex-sept'!$E$20</f>
        <v>911</v>
      </c>
      <c r="Y12" s="826">
        <f>'[166]ADU-ex-sept'!$E$28</f>
        <v>421</v>
      </c>
      <c r="Z12" s="827">
        <f>SUM('[166]ADU-ex-sept'!$K$11,'[166]ADU-ex-sept'!$M$11,'[166]ADU-ex-sept'!$O$11,'[166]ADU-ex-sept'!$Q$11,'[166]ADU-ex-sept'!$S$11,'[166]ADU-ex-sept'!$U$11,'[166]ADU-ex-sept'!$W$11,'[166]ADU-ex-sept'!$Y$11,'[166]ADU-ex-sept'!$AA$11)</f>
        <v>261</v>
      </c>
      <c r="AA12" s="827">
        <f>SUM('[166]ADU-ex-sept'!$J$11,'[166]ADU-ex-sept'!$L$11,'[166]ADU-ex-sept'!$N$11,'[166]ADU-ex-sept'!$P$11,'[166]ADU-ex-sept'!$R$11,'[166]ADU-ex-sept'!$T$11,'[166]ADU-ex-sept'!$V$11,'[166]ADU-ex-sept'!$X$11,'[166]ADU-ex-sept'!$Z$11)</f>
        <v>143</v>
      </c>
      <c r="AB12" s="828">
        <f>'[167]Sept-ex'!$D$13</f>
        <v>511</v>
      </c>
      <c r="AC12" s="828">
        <f>SUM('[168]Sept-ex'!$W$10:$Z$10)</f>
        <v>54</v>
      </c>
      <c r="AD12" s="828">
        <f>'[169]Sept-ex'!$F$23</f>
        <v>127</v>
      </c>
      <c r="AE12" s="828">
        <f>SUM('[169]Sept-ex'!$G$64:$M$64)</f>
        <v>19</v>
      </c>
      <c r="AF12" s="829">
        <f>SUM('[168]Sept-ex'!$D$34,'[168]Sept-ex'!$G$69:$H$69)</f>
        <v>172</v>
      </c>
      <c r="AG12" s="819"/>
      <c r="AH12" s="626"/>
      <c r="AI12" s="628"/>
      <c r="AJ12" s="627"/>
      <c r="AK12" s="626"/>
      <c r="AL12" s="626"/>
      <c r="AM12" s="626"/>
    </row>
    <row r="13" spans="2:41" x14ac:dyDescent="0.2">
      <c r="D13" s="246"/>
      <c r="E13" s="254"/>
      <c r="F13" s="254"/>
      <c r="G13" s="254"/>
      <c r="H13" s="254"/>
      <c r="I13" s="254"/>
      <c r="J13" s="254"/>
      <c r="K13" s="254"/>
      <c r="L13" s="254"/>
      <c r="M13" s="254"/>
      <c r="N13" s="254"/>
    </row>
    <row r="14" spans="2:41" x14ac:dyDescent="0.2">
      <c r="D14" s="246"/>
      <c r="E14" s="254"/>
      <c r="F14" s="254"/>
      <c r="G14" s="254"/>
      <c r="H14" s="254"/>
      <c r="I14" s="254"/>
      <c r="J14" s="254"/>
      <c r="K14" s="254"/>
      <c r="L14" s="254"/>
      <c r="M14" s="254"/>
      <c r="N14" s="254"/>
    </row>
    <row r="15" spans="2:41" x14ac:dyDescent="0.2">
      <c r="D15" s="246"/>
      <c r="E15" s="254"/>
      <c r="F15" s="254"/>
      <c r="G15" s="254"/>
      <c r="H15" s="254"/>
      <c r="I15" s="254"/>
      <c r="J15" s="254"/>
      <c r="K15" s="254"/>
      <c r="L15" s="254"/>
      <c r="M15" s="254"/>
      <c r="N15" s="254"/>
    </row>
    <row r="16" spans="2:41" x14ac:dyDescent="0.2">
      <c r="D16" s="246"/>
      <c r="E16" s="254"/>
      <c r="F16" s="254"/>
      <c r="G16" s="254"/>
      <c r="H16" s="254"/>
      <c r="I16" s="254"/>
      <c r="J16" s="254"/>
      <c r="K16" s="254"/>
      <c r="L16" s="254"/>
      <c r="M16" s="254"/>
      <c r="N16" s="254"/>
    </row>
    <row r="17" spans="4:23" x14ac:dyDescent="0.2">
      <c r="D17" s="246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</row>
    <row r="18" spans="4:23" x14ac:dyDescent="0.2">
      <c r="D18" s="246"/>
      <c r="E18" s="254"/>
      <c r="F18" s="254"/>
      <c r="G18" s="254"/>
      <c r="H18" s="254"/>
      <c r="I18" s="254"/>
      <c r="J18" s="254"/>
      <c r="K18" s="254"/>
      <c r="L18" s="254"/>
      <c r="M18" s="254"/>
      <c r="N18" s="254"/>
    </row>
    <row r="19" spans="4:23" x14ac:dyDescent="0.2">
      <c r="D19" s="246"/>
      <c r="E19" s="254"/>
      <c r="F19" s="254"/>
      <c r="G19" s="254"/>
      <c r="H19" s="254"/>
      <c r="I19" s="254"/>
      <c r="J19" s="254"/>
      <c r="K19" s="254"/>
      <c r="L19" s="254"/>
      <c r="M19" s="254"/>
      <c r="N19" s="254"/>
    </row>
    <row r="20" spans="4:23" x14ac:dyDescent="0.2">
      <c r="E20" s="254"/>
      <c r="F20" s="254"/>
      <c r="G20" s="254"/>
      <c r="H20" s="254"/>
      <c r="I20" s="254"/>
      <c r="J20" s="254"/>
      <c r="K20" s="254"/>
      <c r="L20" s="254"/>
      <c r="M20" s="254"/>
      <c r="N20" s="254"/>
    </row>
    <row r="21" spans="4:23" x14ac:dyDescent="0.2">
      <c r="E21" s="254"/>
      <c r="F21" s="254"/>
      <c r="G21" s="254"/>
      <c r="H21" s="254"/>
      <c r="I21" s="254"/>
      <c r="J21" s="254" t="s">
        <v>479</v>
      </c>
      <c r="K21" s="254"/>
      <c r="L21" s="254"/>
      <c r="M21" s="254"/>
      <c r="N21" s="254"/>
    </row>
    <row r="22" spans="4:23" x14ac:dyDescent="0.2">
      <c r="E22" s="254"/>
      <c r="F22" s="254"/>
      <c r="G22" s="254"/>
      <c r="H22" s="254"/>
      <c r="I22" s="254"/>
      <c r="J22" s="254"/>
      <c r="K22" s="254"/>
      <c r="L22" s="254"/>
      <c r="M22" s="254"/>
      <c r="N22" s="254"/>
    </row>
    <row r="23" spans="4:23" x14ac:dyDescent="0.2">
      <c r="E23" s="254"/>
      <c r="F23" s="254"/>
      <c r="G23" s="254"/>
      <c r="H23" s="254"/>
      <c r="I23" s="254"/>
      <c r="J23" s="254"/>
      <c r="K23" s="254"/>
      <c r="L23" s="254"/>
      <c r="M23" s="254"/>
      <c r="N23" s="254"/>
    </row>
    <row r="24" spans="4:23" x14ac:dyDescent="0.2">
      <c r="E24" s="254"/>
      <c r="F24" s="254"/>
      <c r="G24" s="254"/>
      <c r="H24" s="254"/>
      <c r="I24" s="254"/>
      <c r="J24" s="254"/>
      <c r="K24" s="254"/>
      <c r="L24" s="254"/>
      <c r="M24" s="254"/>
      <c r="N24" s="254"/>
    </row>
    <row r="25" spans="4:23" x14ac:dyDescent="0.2">
      <c r="E25" s="254"/>
      <c r="F25" s="254"/>
      <c r="G25" s="254"/>
      <c r="H25" s="254"/>
      <c r="I25" s="254"/>
      <c r="J25" s="254"/>
      <c r="K25" s="254"/>
      <c r="L25" s="254"/>
      <c r="M25" s="254"/>
      <c r="N25" s="254"/>
    </row>
    <row r="26" spans="4:23" x14ac:dyDescent="0.2">
      <c r="E26" s="254"/>
      <c r="F26" s="254"/>
      <c r="G26" s="254"/>
      <c r="H26" s="254"/>
      <c r="I26" s="254"/>
      <c r="J26" s="254"/>
      <c r="K26" s="254"/>
      <c r="L26" s="254"/>
      <c r="M26" s="254"/>
      <c r="N26" s="254"/>
    </row>
    <row r="27" spans="4:23" x14ac:dyDescent="0.2">
      <c r="E27" s="254"/>
      <c r="F27" s="254"/>
      <c r="G27" s="254"/>
      <c r="H27" s="254"/>
      <c r="I27" s="254"/>
      <c r="J27" s="254"/>
      <c r="K27" s="254"/>
      <c r="L27" s="254"/>
      <c r="M27" s="254"/>
      <c r="N27" s="254"/>
    </row>
    <row r="28" spans="4:23" x14ac:dyDescent="0.2">
      <c r="E28" s="254"/>
      <c r="F28" s="254"/>
      <c r="G28" s="254"/>
      <c r="H28" s="254"/>
      <c r="I28" s="254"/>
      <c r="J28" s="254"/>
      <c r="K28" s="254"/>
      <c r="L28" s="254"/>
      <c r="M28" s="254"/>
      <c r="N28" s="254"/>
    </row>
    <row r="29" spans="4:23" x14ac:dyDescent="0.2">
      <c r="E29" s="254"/>
      <c r="F29" s="254"/>
      <c r="G29" s="254"/>
      <c r="H29" s="254"/>
      <c r="I29" s="254"/>
      <c r="J29" s="254"/>
      <c r="K29" s="254"/>
      <c r="L29" s="254"/>
      <c r="M29" s="254"/>
      <c r="N29" s="254"/>
    </row>
    <row r="30" spans="4:23" x14ac:dyDescent="0.2">
      <c r="E30" s="254"/>
      <c r="F30" s="254"/>
      <c r="G30" s="254"/>
      <c r="H30" s="254"/>
      <c r="I30" s="254"/>
      <c r="J30" s="254"/>
      <c r="K30" s="254"/>
      <c r="L30" s="254"/>
      <c r="M30" s="254"/>
      <c r="N30" s="254"/>
    </row>
    <row r="31" spans="4:23" x14ac:dyDescent="0.2">
      <c r="E31" s="254"/>
      <c r="F31" s="254"/>
      <c r="G31" s="254"/>
      <c r="H31" s="254"/>
      <c r="I31" s="254"/>
      <c r="J31" s="254"/>
      <c r="K31" s="254"/>
      <c r="L31" s="254"/>
      <c r="M31" s="254"/>
      <c r="N31" s="254"/>
    </row>
    <row r="32" spans="4:23" x14ac:dyDescent="0.2">
      <c r="E32" s="254"/>
      <c r="F32" s="254"/>
      <c r="G32" s="254"/>
      <c r="H32" s="254"/>
      <c r="I32" s="254"/>
      <c r="J32" s="254"/>
      <c r="K32" s="254"/>
      <c r="L32" s="254"/>
      <c r="M32" s="254"/>
      <c r="N32" s="254"/>
    </row>
    <row r="33" spans="5:13" x14ac:dyDescent="0.2">
      <c r="E33" s="253"/>
      <c r="F33" s="253"/>
      <c r="G33" s="253"/>
      <c r="H33" s="253"/>
      <c r="I33" s="253"/>
      <c r="J33" s="253"/>
      <c r="K33" s="253"/>
      <c r="L33" s="253"/>
      <c r="M33" s="253"/>
    </row>
    <row r="34" spans="5:13" x14ac:dyDescent="0.2">
      <c r="E34" s="253"/>
      <c r="F34" s="253"/>
      <c r="G34" s="253"/>
      <c r="H34" s="253"/>
      <c r="I34" s="253"/>
      <c r="J34" s="253"/>
      <c r="K34" s="253"/>
      <c r="L34" s="253"/>
      <c r="M34" s="253"/>
    </row>
  </sheetData>
  <autoFilter ref="B5:C12" xr:uid="{00000000-0001-0000-1B00-000000000000}"/>
  <mergeCells count="4">
    <mergeCell ref="E1:N1"/>
    <mergeCell ref="O1:W1"/>
    <mergeCell ref="AG1:AO1"/>
    <mergeCell ref="X1:AF1"/>
  </mergeCells>
  <dataValidations count="1">
    <dataValidation allowBlank="1" showInputMessage="1" errorTitle="Error de ingreso" error="Debe ingresar sólo números enteros positivos." sqref="N2 W2 AF2 AO2" xr:uid="{35F550F9-35CA-4F8E-834D-6CD6B04BFC38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1F29-B9EB-468D-957B-B757F2E1F713}">
  <sheetPr codeName="Hoja1">
    <tabColor theme="4" tint="0.39997558519241921"/>
  </sheetPr>
  <dimension ref="B2:XFC23"/>
  <sheetViews>
    <sheetView zoomScale="70" zoomScaleNormal="70" workbookViewId="0">
      <selection activeCell="G8" sqref="G8"/>
    </sheetView>
  </sheetViews>
  <sheetFormatPr baseColWidth="10" defaultColWidth="0" defaultRowHeight="12.75" x14ac:dyDescent="0.2"/>
  <cols>
    <col min="1" max="1" width="11.42578125" customWidth="1"/>
    <col min="2" max="2" width="9.140625" bestFit="1" customWidth="1"/>
    <col min="3" max="4" width="11.42578125" customWidth="1"/>
    <col min="5" max="5" width="17.42578125" customWidth="1"/>
    <col min="6" max="6" width="14.42578125" style="640" customWidth="1"/>
    <col min="7" max="7" width="55.140625" customWidth="1"/>
    <col min="8" max="8" width="46.28515625" customWidth="1"/>
    <col min="9" max="16383" width="11.42578125" hidden="1"/>
    <col min="16384" max="16384" width="3.85546875" customWidth="1"/>
  </cols>
  <sheetData>
    <row r="2" spans="2:8" ht="12.75" customHeight="1" thickBot="1" x14ac:dyDescent="0.25"/>
    <row r="3" spans="2:8" ht="63.75" customHeight="1" thickBot="1" x14ac:dyDescent="0.25">
      <c r="B3" s="726" t="s">
        <v>299</v>
      </c>
      <c r="C3" s="892" t="s">
        <v>458</v>
      </c>
      <c r="D3" s="893"/>
      <c r="E3" s="727" t="s">
        <v>252</v>
      </c>
      <c r="F3" s="727" t="s">
        <v>457</v>
      </c>
      <c r="G3" s="728" t="s">
        <v>517</v>
      </c>
      <c r="H3" s="728" t="s">
        <v>518</v>
      </c>
    </row>
    <row r="4" spans="2:8" ht="45" customHeight="1" thickBot="1" x14ac:dyDescent="0.25">
      <c r="B4" s="638" t="s">
        <v>140</v>
      </c>
      <c r="C4" s="898" t="s">
        <v>159</v>
      </c>
      <c r="D4" s="899"/>
      <c r="E4" s="725">
        <v>100</v>
      </c>
      <c r="F4" s="725">
        <v>100</v>
      </c>
      <c r="G4" s="642">
        <f t="shared" ref="G4:G5" si="0">(F4/E4)*1</f>
        <v>1</v>
      </c>
      <c r="H4" s="642">
        <f>meta2.1!M8</f>
        <v>1</v>
      </c>
    </row>
    <row r="5" spans="2:8" ht="45" customHeight="1" thickBot="1" x14ac:dyDescent="0.25">
      <c r="B5" s="632" t="s">
        <v>141</v>
      </c>
      <c r="C5" s="894" t="s">
        <v>160</v>
      </c>
      <c r="D5" s="900"/>
      <c r="E5" s="641">
        <v>100</v>
      </c>
      <c r="F5" s="641">
        <v>100</v>
      </c>
      <c r="G5" s="642">
        <f t="shared" si="0"/>
        <v>1</v>
      </c>
      <c r="H5" s="642">
        <f>meta2.2!M8</f>
        <v>1</v>
      </c>
    </row>
    <row r="6" spans="2:8" ht="45" customHeight="1" thickBot="1" x14ac:dyDescent="0.25">
      <c r="B6" s="632" t="s">
        <v>142</v>
      </c>
      <c r="C6" s="894" t="s">
        <v>161</v>
      </c>
      <c r="D6" s="900"/>
      <c r="E6" s="643">
        <f>meta3!AA16</f>
        <v>1.08</v>
      </c>
      <c r="F6" s="643">
        <f>meta3!AB16</f>
        <v>0.83999901310108316</v>
      </c>
      <c r="G6" s="642">
        <f>(F6/E6)*1</f>
        <v>0.77777686398248436</v>
      </c>
      <c r="H6" s="642">
        <f>meta3!Y16</f>
        <v>1</v>
      </c>
    </row>
    <row r="7" spans="2:8" ht="45" customHeight="1" thickBot="1" x14ac:dyDescent="0.25">
      <c r="B7" s="633" t="s">
        <v>143</v>
      </c>
      <c r="C7" s="894" t="s">
        <v>162</v>
      </c>
      <c r="D7" s="895"/>
      <c r="E7" s="643">
        <f>meta4!AM16</f>
        <v>0.90700000000000003</v>
      </c>
      <c r="F7" s="643">
        <f>meta4!AN16</f>
        <v>0.80756427578374357</v>
      </c>
      <c r="G7" s="642">
        <f t="shared" ref="G7:G23" si="1">(F7/E7)*1</f>
        <v>0.89036855102948576</v>
      </c>
      <c r="H7" s="642">
        <f>meta4!AK16</f>
        <v>0.89036855102948576</v>
      </c>
    </row>
    <row r="8" spans="2:8" ht="45" customHeight="1" thickBot="1" x14ac:dyDescent="0.25">
      <c r="B8" s="634" t="s">
        <v>144</v>
      </c>
      <c r="C8" s="901" t="s">
        <v>163</v>
      </c>
      <c r="D8" s="895"/>
      <c r="E8" s="643">
        <f>meta5!AB16</f>
        <v>0.16500000000000001</v>
      </c>
      <c r="F8" s="643">
        <f>meta5!AC16</f>
        <v>9.5857491796402738E-2</v>
      </c>
      <c r="G8" s="642">
        <f t="shared" si="1"/>
        <v>0.58095449573577418</v>
      </c>
      <c r="H8" s="642">
        <f>meta5!Z16</f>
        <v>0.82993499390824887</v>
      </c>
    </row>
    <row r="9" spans="2:8" ht="45" customHeight="1" thickBot="1" x14ac:dyDescent="0.25">
      <c r="B9" s="635" t="s">
        <v>459</v>
      </c>
      <c r="C9" s="894" t="s">
        <v>461</v>
      </c>
      <c r="D9" s="895"/>
      <c r="E9" s="643">
        <f>meta6.1a!AB16</f>
        <v>0.1119</v>
      </c>
      <c r="F9" s="643">
        <f>meta6.1a!AC16</f>
        <v>8.9286185164675791E-2</v>
      </c>
      <c r="G9" s="642">
        <f t="shared" si="1"/>
        <v>0.79791050191846102</v>
      </c>
      <c r="H9" s="642">
        <f>meta6.1a!Z16</f>
        <v>1</v>
      </c>
    </row>
    <row r="10" spans="2:8" ht="45" customHeight="1" thickBot="1" x14ac:dyDescent="0.25">
      <c r="B10" s="635" t="s">
        <v>460</v>
      </c>
      <c r="C10" s="894" t="s">
        <v>462</v>
      </c>
      <c r="D10" s="895"/>
      <c r="E10" s="643">
        <f>meta6.1b!AB16</f>
        <v>0.1</v>
      </c>
      <c r="F10" s="643">
        <f>meta6.1b!AC16</f>
        <v>4.7402534584502276E-2</v>
      </c>
      <c r="G10" s="642">
        <f t="shared" si="1"/>
        <v>0.47402534584502276</v>
      </c>
      <c r="H10" s="642">
        <f>meta6.1b!Z16</f>
        <v>0.67717906549288975</v>
      </c>
    </row>
    <row r="11" spans="2:8" ht="45" customHeight="1" thickBot="1" x14ac:dyDescent="0.25">
      <c r="B11" s="633" t="s">
        <v>146</v>
      </c>
      <c r="C11" s="894" t="s">
        <v>165</v>
      </c>
      <c r="D11" s="895"/>
      <c r="E11" s="643">
        <f>meta6.2!AB16</f>
        <v>0.39</v>
      </c>
      <c r="F11" s="643">
        <f>meta6.2!AC16</f>
        <v>0.29328199681359529</v>
      </c>
      <c r="G11" s="642">
        <f t="shared" si="1"/>
        <v>0.75200512003485964</v>
      </c>
      <c r="H11" s="642">
        <f>meta6.2!Z16</f>
        <v>1</v>
      </c>
    </row>
    <row r="12" spans="2:8" ht="45" customHeight="1" thickBot="1" x14ac:dyDescent="0.25">
      <c r="B12" s="633" t="s">
        <v>147</v>
      </c>
      <c r="C12" s="894" t="s">
        <v>166</v>
      </c>
      <c r="D12" s="895"/>
      <c r="E12" s="643">
        <f>meta7!AA16</f>
        <v>0.95</v>
      </c>
      <c r="F12" s="643">
        <f>meta7!AB16</f>
        <v>0.77641025641025641</v>
      </c>
      <c r="G12" s="642">
        <f t="shared" si="1"/>
        <v>0.81727395411605941</v>
      </c>
      <c r="H12" s="642">
        <f>meta7!Y16</f>
        <v>1</v>
      </c>
    </row>
    <row r="13" spans="2:8" ht="45" customHeight="1" thickBot="1" x14ac:dyDescent="0.25">
      <c r="B13" s="636" t="s">
        <v>148</v>
      </c>
      <c r="C13" s="897" t="s">
        <v>167</v>
      </c>
      <c r="D13" s="895"/>
      <c r="E13" s="643">
        <f>meta8!AA16</f>
        <v>0.19439999999999999</v>
      </c>
      <c r="F13" s="643">
        <f>meta8!AB16</f>
        <v>0.13458994708994709</v>
      </c>
      <c r="G13" s="642">
        <f t="shared" si="1"/>
        <v>0.69233511877544807</v>
      </c>
      <c r="H13" s="642">
        <f>meta8!Y16</f>
        <v>0.98905016967921155</v>
      </c>
    </row>
    <row r="14" spans="2:8" ht="45" customHeight="1" thickBot="1" x14ac:dyDescent="0.25">
      <c r="B14" s="633" t="s">
        <v>149</v>
      </c>
      <c r="C14" s="894" t="s">
        <v>168</v>
      </c>
      <c r="D14" s="895"/>
      <c r="E14" s="643">
        <f>meta9!AB16</f>
        <v>0.46839999999999998</v>
      </c>
      <c r="F14" s="643">
        <f>meta9!AC16</f>
        <v>0.39849814377320286</v>
      </c>
      <c r="G14" s="642">
        <f t="shared" si="1"/>
        <v>0.85076461095901557</v>
      </c>
      <c r="H14" s="642">
        <f>meta9!Z16</f>
        <v>1</v>
      </c>
    </row>
    <row r="15" spans="2:8" ht="45" customHeight="1" thickBot="1" x14ac:dyDescent="0.25">
      <c r="B15" s="633" t="s">
        <v>150</v>
      </c>
      <c r="C15" s="894" t="s">
        <v>169</v>
      </c>
      <c r="D15" s="895"/>
      <c r="E15" s="643">
        <f>meta10a!AB17</f>
        <v>0.23880000000000001</v>
      </c>
      <c r="F15" s="643">
        <f>meta10a!AC17</f>
        <v>0.33838670437816765</v>
      </c>
      <c r="G15" s="642">
        <f t="shared" si="1"/>
        <v>1.417029750327335</v>
      </c>
      <c r="H15" s="642">
        <f>meta10a!Z17</f>
        <v>1</v>
      </c>
    </row>
    <row r="16" spans="2:8" ht="45" customHeight="1" thickBot="1" x14ac:dyDescent="0.25">
      <c r="B16" s="633" t="s">
        <v>151</v>
      </c>
      <c r="C16" s="894" t="s">
        <v>169</v>
      </c>
      <c r="D16" s="895"/>
      <c r="E16" s="643">
        <f>meta10b!AA16</f>
        <v>6</v>
      </c>
      <c r="F16" s="643">
        <f>meta10b!AB16</f>
        <v>3.9645382235969953</v>
      </c>
      <c r="G16" s="642">
        <f t="shared" si="1"/>
        <v>0.66075637059949921</v>
      </c>
      <c r="H16" s="642">
        <f>meta10b!Y16</f>
        <v>0.94393767228499903</v>
      </c>
    </row>
    <row r="17" spans="2:8" ht="45" customHeight="1" thickBot="1" x14ac:dyDescent="0.25">
      <c r="B17" s="633" t="s">
        <v>152</v>
      </c>
      <c r="C17" s="896" t="s">
        <v>170</v>
      </c>
      <c r="D17" s="895"/>
      <c r="E17" s="643">
        <f>meta12!O8</f>
        <v>0.85</v>
      </c>
      <c r="F17" s="643">
        <f>meta12!P8</f>
        <v>0.9936526549236534</v>
      </c>
      <c r="G17" s="642">
        <f t="shared" si="1"/>
        <v>1.1690031234395923</v>
      </c>
      <c r="H17" s="642">
        <f>meta12!M8</f>
        <v>1</v>
      </c>
    </row>
    <row r="18" spans="2:8" ht="45" customHeight="1" thickBot="1" x14ac:dyDescent="0.25">
      <c r="B18" s="633" t="s">
        <v>153</v>
      </c>
      <c r="C18" s="894" t="s">
        <v>171</v>
      </c>
      <c r="D18" s="895"/>
      <c r="E18" s="643">
        <f>meta13!AM16</f>
        <v>0.90710000000000002</v>
      </c>
      <c r="F18" s="643">
        <f>meta13!AN16</f>
        <v>0.91143911439114389</v>
      </c>
      <c r="G18" s="642">
        <f t="shared" si="1"/>
        <v>1.004783501698979</v>
      </c>
      <c r="H18" s="642">
        <f>meta13!AK16</f>
        <v>1</v>
      </c>
    </row>
    <row r="19" spans="2:8" ht="45" customHeight="1" thickBot="1" x14ac:dyDescent="0.25">
      <c r="B19" s="633" t="s">
        <v>154</v>
      </c>
      <c r="C19" s="896" t="s">
        <v>172</v>
      </c>
      <c r="D19" s="895"/>
      <c r="E19" s="643">
        <f>meta14!Q16</f>
        <v>0.2344</v>
      </c>
      <c r="F19" s="643">
        <f>meta14!R16</f>
        <v>0.23111762355135207</v>
      </c>
      <c r="G19" s="642">
        <f t="shared" si="1"/>
        <v>0.98599668750576819</v>
      </c>
      <c r="H19" s="642">
        <f>meta14!O16</f>
        <v>1</v>
      </c>
    </row>
    <row r="20" spans="2:8" ht="45" customHeight="1" thickBot="1" x14ac:dyDescent="0.25">
      <c r="B20" s="633" t="s">
        <v>155</v>
      </c>
      <c r="C20" s="894" t="s">
        <v>173</v>
      </c>
      <c r="D20" s="895"/>
      <c r="E20" s="643">
        <f>meta15!Q16</f>
        <v>0.55289999999999995</v>
      </c>
      <c r="F20" s="643">
        <f>meta15!R16</f>
        <v>0.56075962973266902</v>
      </c>
      <c r="G20" s="642">
        <f t="shared" si="1"/>
        <v>1.0142152825694866</v>
      </c>
      <c r="H20" s="642">
        <f>meta15!O16</f>
        <v>1</v>
      </c>
    </row>
    <row r="21" spans="2:8" ht="45" customHeight="1" thickBot="1" x14ac:dyDescent="0.25">
      <c r="B21" s="633" t="s">
        <v>156</v>
      </c>
      <c r="C21" s="894" t="s">
        <v>174</v>
      </c>
      <c r="D21" s="895"/>
      <c r="E21" s="643">
        <f>meta16!Q16</f>
        <v>0.5423</v>
      </c>
      <c r="F21" s="643">
        <f>meta16!R16</f>
        <v>0.53281216613412907</v>
      </c>
      <c r="G21" s="642">
        <f t="shared" si="1"/>
        <v>0.98250445534598763</v>
      </c>
      <c r="H21" s="642">
        <f>meta16!O16</f>
        <v>0.9593145780765624</v>
      </c>
    </row>
    <row r="22" spans="2:8" ht="45" customHeight="1" thickBot="1" x14ac:dyDescent="0.25">
      <c r="B22" s="633" t="s">
        <v>157</v>
      </c>
      <c r="C22" s="894" t="s">
        <v>175</v>
      </c>
      <c r="D22" s="895"/>
      <c r="E22" s="643">
        <f>meta17!AB16</f>
        <v>0.95</v>
      </c>
      <c r="F22" s="643">
        <f>meta17!AC16</f>
        <v>0.74153846153846159</v>
      </c>
      <c r="G22" s="642">
        <f t="shared" si="1"/>
        <v>0.78056680161943326</v>
      </c>
      <c r="H22" s="642">
        <f>meta17!Z16</f>
        <v>1</v>
      </c>
    </row>
    <row r="23" spans="2:8" ht="45" customHeight="1" thickBot="1" x14ac:dyDescent="0.25">
      <c r="B23" s="637" t="s">
        <v>158</v>
      </c>
      <c r="C23" s="890" t="s">
        <v>176</v>
      </c>
      <c r="D23" s="891"/>
      <c r="E23" s="643">
        <f>meta18!Q16</f>
        <v>0.65900000000000003</v>
      </c>
      <c r="F23" s="643">
        <f>meta18!R16</f>
        <v>0.87429943955164136</v>
      </c>
      <c r="G23" s="642">
        <f t="shared" si="1"/>
        <v>1.3267062815654649</v>
      </c>
      <c r="H23" s="642">
        <f>meta18!O16</f>
        <v>1</v>
      </c>
    </row>
  </sheetData>
  <mergeCells count="21">
    <mergeCell ref="C5:D5"/>
    <mergeCell ref="C6:D6"/>
    <mergeCell ref="C7:D7"/>
    <mergeCell ref="C8:D8"/>
    <mergeCell ref="C9:D9"/>
    <mergeCell ref="C23:D23"/>
    <mergeCell ref="C3:D3"/>
    <mergeCell ref="C10:D1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4:D4"/>
  </mergeCells>
  <phoneticPr fontId="65" type="noConversion"/>
  <conditionalFormatting sqref="G4:G23">
    <cfRule type="colorScale" priority="1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4">
    <cfRule type="colorScale" priority="1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6">
    <cfRule type="colorScale" priority="9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7">
    <cfRule type="colorScale" priority="8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8">
    <cfRule type="colorScale" priority="7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9">
    <cfRule type="colorScale" priority="6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0">
    <cfRule type="colorScale" priority="5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1">
    <cfRule type="colorScale" priority="4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2">
    <cfRule type="colorScale" priority="3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3:H23">
    <cfRule type="colorScale" priority="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5">
    <cfRule type="colorScale" priority="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0A33-2ADC-4869-9414-8AA92C927046}">
  <sheetPr codeName="Hoja30"/>
  <dimension ref="C1:AR20"/>
  <sheetViews>
    <sheetView zoomScale="80" zoomScaleNormal="80" workbookViewId="0">
      <pane xSplit="3" ySplit="5" topLeftCell="O9" activePane="bottomRight" state="frozen"/>
      <selection activeCell="M17" sqref="M17"/>
      <selection pane="topRight" activeCell="M17" sqref="M17"/>
      <selection pane="bottomLeft" activeCell="M17" sqref="M17"/>
      <selection pane="bottomRight" activeCell="AE23" sqref="AE23"/>
    </sheetView>
  </sheetViews>
  <sheetFormatPr baseColWidth="10" defaultColWidth="11.42578125" defaultRowHeight="12.75" x14ac:dyDescent="0.2"/>
  <cols>
    <col min="1" max="1" width="2.140625" style="307" customWidth="1"/>
    <col min="2" max="2" width="1.7109375" style="307" customWidth="1"/>
    <col min="3" max="3" width="29.42578125" style="307" bestFit="1" customWidth="1"/>
    <col min="4" max="4" width="3.140625" style="307" customWidth="1"/>
    <col min="5" max="5" width="12.7109375" style="307" customWidth="1"/>
    <col min="6" max="6" width="2.28515625" style="307" bestFit="1" customWidth="1"/>
    <col min="7" max="7" width="11.140625" style="307" bestFit="1" customWidth="1"/>
    <col min="8" max="8" width="2.28515625" style="307" bestFit="1" customWidth="1"/>
    <col min="9" max="9" width="14.7109375" style="307" customWidth="1"/>
    <col min="10" max="10" width="19" style="307" customWidth="1"/>
    <col min="11" max="11" width="11.85546875" style="307" bestFit="1" customWidth="1"/>
    <col min="12" max="16" width="16.140625" style="307" customWidth="1"/>
    <col min="17" max="17" width="14.7109375" style="307" customWidth="1"/>
    <col min="18" max="18" width="1.28515625" style="307" customWidth="1"/>
    <col min="19" max="19" width="13.140625" style="307" customWidth="1"/>
    <col min="20" max="21" width="12.42578125" style="307" customWidth="1"/>
    <col min="22" max="22" width="1.42578125" style="307" customWidth="1"/>
    <col min="23" max="23" width="9.85546875" style="307" customWidth="1"/>
    <col min="24" max="24" width="0.85546875" style="307" customWidth="1"/>
    <col min="25" max="25" width="11.85546875" style="307" customWidth="1"/>
    <col min="26" max="26" width="16.7109375" style="307" customWidth="1"/>
    <col min="27" max="27" width="0.7109375" style="307" customWidth="1"/>
    <col min="28" max="28" width="11.5703125" style="307" customWidth="1"/>
    <col min="29" max="29" width="0.85546875" style="307" customWidth="1"/>
    <col min="30" max="32" width="11.7109375" style="307" customWidth="1"/>
    <col min="33" max="33" width="11.85546875" style="307" customWidth="1"/>
    <col min="34" max="34" width="24.7109375" style="307" customWidth="1"/>
    <col min="35" max="35" width="0.7109375" style="307" customWidth="1"/>
    <col min="36" max="39" width="11.140625" style="307" customWidth="1"/>
    <col min="40" max="40" width="18.140625" style="307" customWidth="1"/>
    <col min="41" max="41" width="1" style="307" customWidth="1"/>
    <col min="42" max="42" width="18.85546875" style="307" bestFit="1" customWidth="1"/>
    <col min="43" max="43" width="0.7109375" style="307" customWidth="1"/>
    <col min="44" max="44" width="12.28515625" style="307" customWidth="1"/>
    <col min="45" max="16384" width="11.42578125" style="307"/>
  </cols>
  <sheetData>
    <row r="1" spans="3:44" ht="7.5" customHeight="1" x14ac:dyDescent="0.2"/>
    <row r="2" spans="3:44" s="308" customFormat="1" ht="18.75" x14ac:dyDescent="0.3">
      <c r="E2" s="309" t="s">
        <v>454</v>
      </c>
    </row>
    <row r="3" spans="3:44" ht="7.5" customHeight="1" thickBot="1" x14ac:dyDescent="0.25"/>
    <row r="4" spans="3:44" ht="21.75" customHeight="1" x14ac:dyDescent="0.2">
      <c r="C4" s="1055" t="s">
        <v>220</v>
      </c>
      <c r="D4" s="310" t="s">
        <v>221</v>
      </c>
      <c r="E4" s="311" t="s">
        <v>222</v>
      </c>
      <c r="F4" s="312"/>
      <c r="G4" s="311" t="s">
        <v>223</v>
      </c>
      <c r="H4" s="312"/>
      <c r="I4" s="1057" t="s">
        <v>492</v>
      </c>
      <c r="J4" s="1058"/>
      <c r="K4" s="1058"/>
      <c r="L4" s="1059"/>
      <c r="M4" s="1057" t="s">
        <v>493</v>
      </c>
      <c r="N4" s="1058"/>
      <c r="O4" s="1058"/>
      <c r="P4" s="1059"/>
      <c r="Q4" s="311" t="s">
        <v>224</v>
      </c>
      <c r="R4" s="312"/>
      <c r="S4" s="1060" t="s">
        <v>225</v>
      </c>
      <c r="T4" s="1061"/>
      <c r="U4" s="1062"/>
      <c r="V4" s="312"/>
      <c r="W4" s="311" t="s">
        <v>226</v>
      </c>
      <c r="X4" s="312"/>
      <c r="Y4" s="1054" t="s">
        <v>227</v>
      </c>
      <c r="Z4" s="1054"/>
      <c r="AA4" s="312"/>
      <c r="AB4" s="311" t="s">
        <v>228</v>
      </c>
      <c r="AC4" s="312"/>
      <c r="AD4" s="1054" t="s">
        <v>229</v>
      </c>
      <c r="AE4" s="1054"/>
      <c r="AF4" s="1054"/>
      <c r="AG4" s="1054"/>
      <c r="AH4" s="1054"/>
      <c r="AI4" s="312"/>
      <c r="AJ4" s="1054" t="s">
        <v>230</v>
      </c>
      <c r="AK4" s="1054"/>
      <c r="AL4" s="1054"/>
      <c r="AM4" s="1054"/>
      <c r="AN4" s="1054"/>
      <c r="AO4" s="312"/>
      <c r="AP4" s="311" t="s">
        <v>231</v>
      </c>
      <c r="AQ4" s="313"/>
      <c r="AR4" s="314" t="s">
        <v>232</v>
      </c>
    </row>
    <row r="5" spans="3:44" ht="121.5" customHeight="1" thickBot="1" x14ac:dyDescent="0.25">
      <c r="C5" s="1056"/>
      <c r="D5" s="315"/>
      <c r="E5" s="316" t="s">
        <v>233</v>
      </c>
      <c r="F5" s="317"/>
      <c r="G5" s="316" t="s">
        <v>234</v>
      </c>
      <c r="H5" s="317"/>
      <c r="I5" s="316" t="s">
        <v>489</v>
      </c>
      <c r="J5" s="316" t="s">
        <v>490</v>
      </c>
      <c r="K5" s="316" t="s">
        <v>235</v>
      </c>
      <c r="L5" s="316" t="s">
        <v>491</v>
      </c>
      <c r="M5" s="316" t="s">
        <v>486</v>
      </c>
      <c r="N5" s="316" t="s">
        <v>487</v>
      </c>
      <c r="O5" s="316" t="s">
        <v>488</v>
      </c>
      <c r="P5" s="316" t="s">
        <v>236</v>
      </c>
      <c r="Q5" s="316" t="s">
        <v>236</v>
      </c>
      <c r="R5" s="317"/>
      <c r="S5" s="318" t="s">
        <v>237</v>
      </c>
      <c r="T5" s="316" t="s">
        <v>238</v>
      </c>
      <c r="U5" s="319" t="s">
        <v>239</v>
      </c>
      <c r="V5" s="317"/>
      <c r="W5" s="316" t="s">
        <v>240</v>
      </c>
      <c r="X5" s="317"/>
      <c r="Y5" s="316" t="s">
        <v>233</v>
      </c>
      <c r="Z5" s="316" t="s">
        <v>241</v>
      </c>
      <c r="AA5" s="317"/>
      <c r="AB5" s="316" t="s">
        <v>238</v>
      </c>
      <c r="AC5" s="317"/>
      <c r="AD5" s="316" t="s">
        <v>242</v>
      </c>
      <c r="AE5" s="316" t="s">
        <v>243</v>
      </c>
      <c r="AF5" s="316" t="s">
        <v>244</v>
      </c>
      <c r="AG5" s="316" t="s">
        <v>245</v>
      </c>
      <c r="AH5" s="316" t="s">
        <v>246</v>
      </c>
      <c r="AI5" s="317"/>
      <c r="AJ5" s="316" t="s">
        <v>242</v>
      </c>
      <c r="AK5" s="316" t="s">
        <v>243</v>
      </c>
      <c r="AL5" s="316" t="s">
        <v>244</v>
      </c>
      <c r="AM5" s="316" t="s">
        <v>245</v>
      </c>
      <c r="AN5" s="316" t="s">
        <v>247</v>
      </c>
      <c r="AO5" s="317"/>
      <c r="AP5" s="316" t="s">
        <v>248</v>
      </c>
      <c r="AR5" s="320" t="s">
        <v>249</v>
      </c>
    </row>
    <row r="6" spans="3:44" ht="15" x14ac:dyDescent="0.2">
      <c r="C6" s="325" t="s">
        <v>95</v>
      </c>
      <c r="D6" s="313"/>
      <c r="E6" s="622">
        <v>37740.906000000003</v>
      </c>
      <c r="F6" s="322"/>
      <c r="G6" s="321">
        <f t="shared" ref="G6:G13" si="0">+E6/3.3</f>
        <v>11436.638181818184</v>
      </c>
      <c r="H6" s="322"/>
      <c r="I6" s="321">
        <f>SUM('[1]INSCRITA PERCAPITA 2024'!$CF$34:$CN$34)</f>
        <v>12283.214999999998</v>
      </c>
      <c r="J6" s="323"/>
      <c r="K6" s="271"/>
      <c r="L6" s="321">
        <f t="shared" ref="L6:L13" si="1">+I6-J6-K6</f>
        <v>12283.214999999998</v>
      </c>
      <c r="M6" s="321">
        <f>SUM('[1]INSCRITA PERCAPITA 2024'!$AZ$34:$BH$34)</f>
        <v>11048.477999999999</v>
      </c>
      <c r="N6" s="321"/>
      <c r="O6" s="321"/>
      <c r="P6" s="321"/>
      <c r="Q6" s="321">
        <f>SUM('[1]INSCRITA PERCAPITA 2024'!$AC$34:$AG$34)</f>
        <v>9256.0860000000011</v>
      </c>
      <c r="R6" s="322"/>
      <c r="S6" s="321">
        <f>SUM('[1]INSCRITA PERCAPITA 2024'!$N$34:$R$34)</f>
        <v>1702.575</v>
      </c>
      <c r="T6" s="321">
        <f>SUM('[1]INSCRITA PERCAPITA 2024'!$S$34)</f>
        <v>1829.8980000000001</v>
      </c>
      <c r="U6" s="324">
        <f>SUM(S6:T6)</f>
        <v>3532.473</v>
      </c>
      <c r="V6" s="322"/>
      <c r="W6" s="321">
        <f>SUM('[1]INSCRITA PERCAPITA 2024'!$D$34:$S$34)</f>
        <v>5153.1270000000004</v>
      </c>
      <c r="X6" s="322"/>
      <c r="Y6" s="321">
        <f t="shared" ref="Y6:Y12" si="2">E6</f>
        <v>37740.906000000003</v>
      </c>
      <c r="Z6" s="321">
        <f t="shared" ref="Z6:Z13" si="3">+Y6*22%</f>
        <v>8302.9993200000008</v>
      </c>
      <c r="AA6" s="322"/>
      <c r="AB6" s="321">
        <f>T6</f>
        <v>1829.8980000000001</v>
      </c>
      <c r="AC6" s="322"/>
      <c r="AD6" s="321">
        <f>SUM('[1]INSCRITA PERCAPITA 2024'!$S$34:$T$34)</f>
        <v>4021.038</v>
      </c>
      <c r="AE6" s="321">
        <f>SUM('[1]INSCRITA PERCAPITA 2024'!$U$34:$X$34)</f>
        <v>10629.99</v>
      </c>
      <c r="AF6" s="321">
        <f>SUM('[1]INSCRITA PERCAPITA 2024'!$Y$34:$AB$34)</f>
        <v>10510.563</v>
      </c>
      <c r="AG6" s="321">
        <f>SUM('[1]INSCRITA PERCAPITA 2024'!$AC$34:$AG$34)</f>
        <v>9256.0860000000011</v>
      </c>
      <c r="AH6" s="326">
        <f>+AD6*1.8%+AE6*6.3%+AF6*18.3%+AG6*30.6%</f>
        <v>5497.8633989999998</v>
      </c>
      <c r="AI6" s="322"/>
      <c r="AJ6" s="321">
        <f>AD6</f>
        <v>4021.038</v>
      </c>
      <c r="AK6" s="321">
        <f>AE6</f>
        <v>10629.99</v>
      </c>
      <c r="AL6" s="321">
        <f>AF6</f>
        <v>10510.563</v>
      </c>
      <c r="AM6" s="321">
        <f>AG6</f>
        <v>9256.0860000000011</v>
      </c>
      <c r="AN6" s="321">
        <f t="shared" ref="AN6:AN13" si="4">+AJ6*0.7%+AK6*10.6%+AL6*45.1%+AM6*73.3%</f>
        <v>12679.901157</v>
      </c>
      <c r="AO6" s="322"/>
      <c r="AP6" s="321">
        <f>SUM('[1]INSCRITA PERCAPITA 2024'!$D$34:$F$34)</f>
        <v>321.762</v>
      </c>
      <c r="AQ6" s="322"/>
      <c r="AR6" s="321">
        <f>SUM('[1]INSCRITA PERCAPITA 2024'!$D$34:$I$34)</f>
        <v>675.10799999999995</v>
      </c>
    </row>
    <row r="7" spans="3:44" ht="15.95" customHeight="1" x14ac:dyDescent="0.2">
      <c r="C7" s="325" t="s">
        <v>96</v>
      </c>
      <c r="E7" s="622">
        <v>23185</v>
      </c>
      <c r="G7" s="326">
        <f t="shared" si="0"/>
        <v>7025.757575757576</v>
      </c>
      <c r="I7" s="321">
        <f>SUM('[1]INSCRITA PERCAPITA 2024'!$CF$35:$CN$35)</f>
        <v>7850</v>
      </c>
      <c r="J7" s="326"/>
      <c r="K7" s="271"/>
      <c r="L7" s="326">
        <f t="shared" si="1"/>
        <v>7850</v>
      </c>
      <c r="M7" s="321">
        <f>SUM('[1]INSCRITA PERCAPITA 2024'!$AZ$35:$BH$35)</f>
        <v>6703</v>
      </c>
      <c r="N7" s="706"/>
      <c r="O7" s="706"/>
      <c r="P7" s="706"/>
      <c r="Q7" s="321">
        <f>SUM('[1]INSCRITA PERCAPITA 2024'!$AC$35:$AG$35)</f>
        <v>4292</v>
      </c>
      <c r="S7" s="321">
        <f>SUM('[1]INSCRITA PERCAPITA 2024'!$N$35:$R$35)</f>
        <v>1449</v>
      </c>
      <c r="T7" s="321">
        <f>SUM('[1]INSCRITA PERCAPITA 2024'!$S$35)</f>
        <v>1565</v>
      </c>
      <c r="U7" s="324">
        <f t="shared" ref="U7:U12" si="5">SUM(S7:T7)</f>
        <v>3014</v>
      </c>
      <c r="W7" s="321">
        <f>SUM('[1]INSCRITA PERCAPITA 2024'!$D$35:$S$35)</f>
        <v>4340</v>
      </c>
      <c r="Y7" s="321">
        <f t="shared" si="2"/>
        <v>23185</v>
      </c>
      <c r="Z7" s="326">
        <f t="shared" si="3"/>
        <v>5100.7</v>
      </c>
      <c r="AB7" s="321">
        <f t="shared" ref="AB7:AB12" si="6">T7</f>
        <v>1565</v>
      </c>
      <c r="AD7" s="321">
        <f>SUM('[1]INSCRITA PERCAPITA 2024'!$S$35:$T$35)</f>
        <v>3102</v>
      </c>
      <c r="AE7" s="321">
        <f>SUM('[1]INSCRITA PERCAPITA 2024'!$U$35:$X$35)</f>
        <v>6893</v>
      </c>
      <c r="AF7" s="321">
        <f>SUM('[1]INSCRITA PERCAPITA 2024'!$Y$35:$AB$35)</f>
        <v>6123</v>
      </c>
      <c r="AG7" s="321">
        <f>SUM('[1]INSCRITA PERCAPITA 2024'!$AC$35:$AG$35)</f>
        <v>4292</v>
      </c>
      <c r="AH7" s="326">
        <f>+AD7*1.8%+AE7*6.3%+AF7*18.3%+AG7*30.6%</f>
        <v>2923.9560000000001</v>
      </c>
      <c r="AJ7" s="321">
        <f t="shared" ref="AJ7:AJ12" si="7">AD7</f>
        <v>3102</v>
      </c>
      <c r="AK7" s="321">
        <f t="shared" ref="AK7:AK12" si="8">AE7</f>
        <v>6893</v>
      </c>
      <c r="AL7" s="321">
        <f t="shared" ref="AL7:AL12" si="9">AF7</f>
        <v>6123</v>
      </c>
      <c r="AM7" s="321">
        <f t="shared" ref="AM7:AM12" si="10">AG7</f>
        <v>4292</v>
      </c>
      <c r="AN7" s="326">
        <f t="shared" si="4"/>
        <v>6659.8810000000003</v>
      </c>
      <c r="AP7" s="321">
        <f>SUM('[1]INSCRITA PERCAPITA 2024'!$D$35:$F$35)</f>
        <v>106</v>
      </c>
      <c r="AR7" s="321">
        <f>SUM('[1]INSCRITA PERCAPITA 2024'!$D$35:$I$35)</f>
        <v>362</v>
      </c>
    </row>
    <row r="8" spans="3:44" ht="15.95" customHeight="1" x14ac:dyDescent="0.2">
      <c r="C8" s="325" t="s">
        <v>97</v>
      </c>
      <c r="E8" s="622">
        <v>18288</v>
      </c>
      <c r="G8" s="326">
        <f t="shared" si="0"/>
        <v>5541.818181818182</v>
      </c>
      <c r="I8" s="326">
        <f>SUM('[1]INSCRITA PERCAPITA 2024'!$CF$38:$CN$38)</f>
        <v>6728</v>
      </c>
      <c r="J8" s="326"/>
      <c r="K8" s="271"/>
      <c r="L8" s="326">
        <f t="shared" si="1"/>
        <v>6728</v>
      </c>
      <c r="M8" s="321">
        <f>SUM('[1]INSCRITA PERCAPITA 2024'!$AZ$38:$BH$38)</f>
        <v>4580</v>
      </c>
      <c r="N8" s="326"/>
      <c r="O8" s="326"/>
      <c r="P8" s="326"/>
      <c r="Q8" s="326">
        <f>SUM('[1]INSCRITA PERCAPITA 2024'!$AC$38:$AG$38)</f>
        <v>2583</v>
      </c>
      <c r="S8" s="321">
        <f>SUM('[1]INSCRITA PERCAPITA 2024'!$N$38:$R$38)</f>
        <v>1280</v>
      </c>
      <c r="T8" s="321">
        <f>SUM('[1]INSCRITA PERCAPITA 2024'!$S$38)</f>
        <v>1290</v>
      </c>
      <c r="U8" s="324">
        <f t="shared" si="5"/>
        <v>2570</v>
      </c>
      <c r="W8" s="321">
        <f>SUM('[1]INSCRITA PERCAPITA 2024'!$D$38:$S$38)</f>
        <v>4397</v>
      </c>
      <c r="Y8" s="321">
        <f t="shared" si="2"/>
        <v>18288</v>
      </c>
      <c r="Z8" s="326">
        <f t="shared" si="3"/>
        <v>4023.36</v>
      </c>
      <c r="AB8" s="321">
        <f t="shared" si="6"/>
        <v>1290</v>
      </c>
      <c r="AD8" s="321">
        <f>SUM('[1]INSCRITA PERCAPITA 2024'!$S$38:$T$38)</f>
        <v>2657</v>
      </c>
      <c r="AE8" s="321">
        <f>SUM('[1]INSCRITA PERCAPITA 2024'!$U$38:$X$38)</f>
        <v>5379</v>
      </c>
      <c r="AF8" s="321">
        <f>SUM('[1]INSCRITA PERCAPITA 2024'!$Y$38:$AB$38)</f>
        <v>4562</v>
      </c>
      <c r="AG8" s="321">
        <f>SUM('[1]INSCRITA PERCAPITA 2024'!$AC$38:$AG$38)</f>
        <v>2583</v>
      </c>
      <c r="AH8" s="326">
        <f t="shared" ref="AH8:AH13" si="11">+AD8*1.8%+AE8*6.3%+AF8*18.3%+AG8*30.6%</f>
        <v>2011.9470000000001</v>
      </c>
      <c r="AJ8" s="321">
        <f t="shared" si="7"/>
        <v>2657</v>
      </c>
      <c r="AK8" s="321">
        <f t="shared" si="8"/>
        <v>5379</v>
      </c>
      <c r="AL8" s="321">
        <f t="shared" si="9"/>
        <v>4562</v>
      </c>
      <c r="AM8" s="321">
        <f t="shared" si="10"/>
        <v>2583</v>
      </c>
      <c r="AN8" s="326">
        <f t="shared" si="4"/>
        <v>4539.5740000000005</v>
      </c>
      <c r="AP8" s="321">
        <f>SUM('[1]INSCRITA PERCAPITA 2024'!$D$38:$F$38)</f>
        <v>496</v>
      </c>
      <c r="AR8" s="321">
        <f>SUM('[1]INSCRITA PERCAPITA 2024'!$D$38:$I$38)</f>
        <v>938</v>
      </c>
    </row>
    <row r="9" spans="3:44" ht="15.95" customHeight="1" x14ac:dyDescent="0.2">
      <c r="C9" s="325" t="s">
        <v>98</v>
      </c>
      <c r="E9" s="622">
        <v>18492.717600000004</v>
      </c>
      <c r="G9" s="326">
        <f t="shared" si="0"/>
        <v>5603.8538181818194</v>
      </c>
      <c r="I9" s="326">
        <f>SUM('[1]INSCRITA PERCAPITA 2024'!$CF$37:$CN$37)</f>
        <v>6306.6552000000011</v>
      </c>
      <c r="J9" s="326"/>
      <c r="K9" s="271"/>
      <c r="L9" s="326">
        <f t="shared" si="1"/>
        <v>6306.6552000000011</v>
      </c>
      <c r="M9" s="321">
        <f>SUM('[1]INSCRITA PERCAPITA 2024'!$AZ$37:$BH$37)</f>
        <v>5028.0760000000009</v>
      </c>
      <c r="N9" s="326"/>
      <c r="O9" s="326"/>
      <c r="P9" s="326"/>
      <c r="Q9" s="326">
        <f>SUM('[1]INSCRITA PERCAPITA 2024'!$AC$37:$AG$37)</f>
        <v>2876.8032000000003</v>
      </c>
      <c r="S9" s="321">
        <f>SUM('[1]INSCRITA PERCAPITA 2024'!$N$37:$R$37)</f>
        <v>1441.5663999999997</v>
      </c>
      <c r="T9" s="321">
        <f>SUM('[1]INSCRITA PERCAPITA 2024'!$S$37)</f>
        <v>1272.2496000000001</v>
      </c>
      <c r="U9" s="324">
        <f t="shared" si="5"/>
        <v>2713.8159999999998</v>
      </c>
      <c r="W9" s="321">
        <f>SUM('[1]INSCRITA PERCAPITA 2024'!$D$37:$S$37)</f>
        <v>4281.1831999999995</v>
      </c>
      <c r="Y9" s="321">
        <f t="shared" si="2"/>
        <v>18492.717600000004</v>
      </c>
      <c r="Z9" s="326">
        <f t="shared" si="3"/>
        <v>4068.3978720000009</v>
      </c>
      <c r="AB9" s="321">
        <f t="shared" si="6"/>
        <v>1272.2496000000001</v>
      </c>
      <c r="AD9" s="321">
        <f>SUM('[1]INSCRITA PERCAPITA 2024'!$S$37:$T$37)</f>
        <v>2614.1248000000001</v>
      </c>
      <c r="AE9" s="321">
        <f>SUM('[1]INSCRITA PERCAPITA 2024'!$U$37:$X$37)</f>
        <v>5585.8719999999994</v>
      </c>
      <c r="AF9" s="321">
        <f>SUM('[1]INSCRITA PERCAPITA 2024'!$Y$37:$AB$37)</f>
        <v>4406.9840000000004</v>
      </c>
      <c r="AG9" s="321">
        <f>SUM('[1]INSCRITA PERCAPITA 2024'!$AC$37:$AG$37)</f>
        <v>2876.8032000000003</v>
      </c>
      <c r="AH9" s="326">
        <f t="shared" si="11"/>
        <v>2085.7440336</v>
      </c>
      <c r="AJ9" s="321">
        <f t="shared" si="7"/>
        <v>2614.1248000000001</v>
      </c>
      <c r="AK9" s="321">
        <f t="shared" si="8"/>
        <v>5585.8719999999994</v>
      </c>
      <c r="AL9" s="321">
        <f t="shared" si="9"/>
        <v>4406.9840000000004</v>
      </c>
      <c r="AM9" s="321">
        <f t="shared" si="10"/>
        <v>2876.8032000000003</v>
      </c>
      <c r="AN9" s="326">
        <f t="shared" si="4"/>
        <v>4706.6478352000004</v>
      </c>
      <c r="AP9" s="321">
        <f>SUM('[1]INSCRITA PERCAPITA 2024'!$D$37:$F$37)</f>
        <v>304.61200000000002</v>
      </c>
      <c r="AR9" s="321">
        <f>SUM('[1]INSCRITA PERCAPITA 2024'!$D$37:$I$37)</f>
        <v>669.35519999999997</v>
      </c>
    </row>
    <row r="10" spans="3:44" ht="15" x14ac:dyDescent="0.2">
      <c r="C10" s="325" t="s">
        <v>99</v>
      </c>
      <c r="E10" s="622">
        <v>18509</v>
      </c>
      <c r="G10" s="326">
        <f t="shared" si="0"/>
        <v>5608.787878787879</v>
      </c>
      <c r="I10" s="326">
        <f>SUM('[1]INSCRITA PERCAPITA 2024'!$CF$36:$CN$36)</f>
        <v>6118</v>
      </c>
      <c r="J10" s="326"/>
      <c r="K10" s="271"/>
      <c r="L10" s="326">
        <f t="shared" si="1"/>
        <v>6118</v>
      </c>
      <c r="M10" s="321">
        <f>SUM('[1]INSCRITA PERCAPITA 2024'!$AZ$36:$BH$36)</f>
        <v>5349</v>
      </c>
      <c r="N10" s="326"/>
      <c r="O10" s="326"/>
      <c r="P10" s="326"/>
      <c r="Q10" s="326">
        <f>SUM('[1]INSCRITA PERCAPITA 2024'!$AC$36:$AG$36)</f>
        <v>2707</v>
      </c>
      <c r="S10" s="321">
        <f>SUM('[1]INSCRITA PERCAPITA 2024'!$N$36:$R$36)</f>
        <v>1337</v>
      </c>
      <c r="T10" s="321">
        <f>SUM('[1]INSCRITA PERCAPITA 2024'!$S$36)</f>
        <v>1190</v>
      </c>
      <c r="U10" s="324">
        <f t="shared" si="5"/>
        <v>2527</v>
      </c>
      <c r="W10" s="321">
        <f>SUM('[1]INSCRITA PERCAPITA 2024'!$D$36:$S$36)</f>
        <v>4335</v>
      </c>
      <c r="Y10" s="321">
        <f t="shared" si="2"/>
        <v>18509</v>
      </c>
      <c r="Z10" s="326">
        <f t="shared" si="3"/>
        <v>4071.98</v>
      </c>
      <c r="AB10" s="321">
        <f t="shared" si="6"/>
        <v>1190</v>
      </c>
      <c r="AD10" s="321">
        <f>SUM('[1]INSCRITA PERCAPITA 2024'!$S$36:$T$36)</f>
        <v>2511</v>
      </c>
      <c r="AE10" s="321">
        <f>SUM('[1]INSCRITA PERCAPITA 2024'!$U$36:$X$36)</f>
        <v>5747</v>
      </c>
      <c r="AF10" s="321">
        <f>SUM('[1]INSCRITA PERCAPITA 2024'!$Y$36:$AB$36)</f>
        <v>4399</v>
      </c>
      <c r="AG10" s="321">
        <f>SUM('[1]INSCRITA PERCAPITA 2024'!$AC$36:$AG$36)</f>
        <v>2707</v>
      </c>
      <c r="AH10" s="326">
        <f t="shared" si="11"/>
        <v>2040.6179999999999</v>
      </c>
      <c r="AJ10" s="321">
        <f t="shared" si="7"/>
        <v>2511</v>
      </c>
      <c r="AK10" s="321">
        <f t="shared" si="8"/>
        <v>5747</v>
      </c>
      <c r="AL10" s="321">
        <f t="shared" si="9"/>
        <v>4399</v>
      </c>
      <c r="AM10" s="321">
        <f t="shared" si="10"/>
        <v>2707</v>
      </c>
      <c r="AN10" s="326">
        <f t="shared" si="4"/>
        <v>4594.9390000000003</v>
      </c>
      <c r="AP10" s="321">
        <f>SUM('[1]INSCRITA PERCAPITA 2024'!$D$36:$F$36)</f>
        <v>312</v>
      </c>
      <c r="AR10" s="321">
        <f>SUM('[1]INSCRITA PERCAPITA 2024'!$D$36:$I$36)</f>
        <v>917</v>
      </c>
    </row>
    <row r="11" spans="3:44" ht="15.95" customHeight="1" x14ac:dyDescent="0.2">
      <c r="C11" s="325" t="s">
        <v>100</v>
      </c>
      <c r="E11" s="622">
        <v>497.09399999999994</v>
      </c>
      <c r="G11" s="326">
        <f t="shared" si="0"/>
        <v>150.63454545454545</v>
      </c>
      <c r="I11" s="326">
        <f>SUM('[1]INSCRITA PERCAPITA 2024'!$CF$39:$CN$39)</f>
        <v>161.785</v>
      </c>
      <c r="J11" s="326"/>
      <c r="K11" s="271"/>
      <c r="L11" s="326">
        <f t="shared" si="1"/>
        <v>161.785</v>
      </c>
      <c r="M11" s="321">
        <f>SUM('[1]INSCRITA PERCAPITA 2024'!$AZ$39:$BH$39)</f>
        <v>145.52199999999996</v>
      </c>
      <c r="N11" s="326"/>
      <c r="O11" s="326"/>
      <c r="P11" s="326"/>
      <c r="Q11" s="326">
        <f>SUM('[1]INSCRITA PERCAPITA 2024'!$AC$39:$AG$39)</f>
        <v>121.91399999999999</v>
      </c>
      <c r="S11" s="321">
        <f>SUM('[1]INSCRITA PERCAPITA 2024'!$N$39:$R$39)</f>
        <v>22.424999999999997</v>
      </c>
      <c r="T11" s="321">
        <f>SUM('[1]INSCRITA PERCAPITA 2024'!$S$39)</f>
        <v>24.101999999999997</v>
      </c>
      <c r="U11" s="324">
        <f t="shared" si="5"/>
        <v>46.526999999999994</v>
      </c>
      <c r="W11" s="321">
        <f>SUM('[1]INSCRITA PERCAPITA 2024'!$D$39:$S$39)</f>
        <v>67.87299999999999</v>
      </c>
      <c r="Y11" s="321">
        <f t="shared" si="2"/>
        <v>497.09399999999994</v>
      </c>
      <c r="Z11" s="326">
        <f t="shared" si="3"/>
        <v>109.36067999999999</v>
      </c>
      <c r="AB11" s="321">
        <f t="shared" si="6"/>
        <v>24.101999999999997</v>
      </c>
      <c r="AD11" s="321">
        <f>SUM('[1]INSCRITA PERCAPITA 2024'!$S$39:$T$39)</f>
        <v>52.961999999999996</v>
      </c>
      <c r="AE11" s="321">
        <f>SUM('[1]INSCRITA PERCAPITA 2024'!$U$39:$X$39)</f>
        <v>140.01</v>
      </c>
      <c r="AF11" s="321">
        <f>SUM('[1]INSCRITA PERCAPITA 2024'!$Y$39:$AB$39)</f>
        <v>138.43700000000001</v>
      </c>
      <c r="AG11" s="321">
        <f>SUM('[1]INSCRITA PERCAPITA 2024'!$AC$39:$AG$39)</f>
        <v>121.91399999999999</v>
      </c>
      <c r="AH11" s="326">
        <f t="shared" si="11"/>
        <v>72.413601</v>
      </c>
      <c r="AJ11" s="321">
        <f t="shared" si="7"/>
        <v>52.961999999999996</v>
      </c>
      <c r="AK11" s="321">
        <f t="shared" si="8"/>
        <v>140.01</v>
      </c>
      <c r="AL11" s="321">
        <f t="shared" si="9"/>
        <v>138.43700000000001</v>
      </c>
      <c r="AM11" s="321">
        <f t="shared" si="10"/>
        <v>121.91399999999999</v>
      </c>
      <c r="AN11" s="326">
        <f t="shared" si="4"/>
        <v>167.00984299999999</v>
      </c>
      <c r="AP11" s="321">
        <f>SUM('[1]INSCRITA PERCAPITA 2024'!$D$39:$F$39)</f>
        <v>4.2379999999999995</v>
      </c>
      <c r="AR11" s="321">
        <f>SUM('[1]INSCRITA PERCAPITA 2024'!$D$39:$I$39)</f>
        <v>8.8919999999999995</v>
      </c>
    </row>
    <row r="12" spans="3:44" ht="15.95" customHeight="1" x14ac:dyDescent="0.2">
      <c r="C12" s="325" t="s">
        <v>101</v>
      </c>
      <c r="E12" s="622">
        <v>4880.282400000001</v>
      </c>
      <c r="G12" s="326">
        <f t="shared" si="0"/>
        <v>1478.8734545454549</v>
      </c>
      <c r="I12" s="326">
        <f>SUM('[1]INSCRITA PERCAPITA 2024'!$CF$40:$CN$40)</f>
        <v>1664.3448000000001</v>
      </c>
      <c r="J12" s="326"/>
      <c r="K12" s="271"/>
      <c r="L12" s="326">
        <f t="shared" si="1"/>
        <v>1664.3448000000001</v>
      </c>
      <c r="M12" s="321">
        <f>SUM('[1]INSCRITA PERCAPITA 2024'!$AZ$40:$BH$40)</f>
        <v>1326.9240000000002</v>
      </c>
      <c r="N12" s="326"/>
      <c r="O12" s="326"/>
      <c r="P12" s="326"/>
      <c r="Q12" s="326">
        <f>SUM('[1]INSCRITA PERCAPITA 2024'!$AC$40:$AG$40)</f>
        <v>759.19680000000005</v>
      </c>
      <c r="S12" s="321">
        <f>SUM('[1]INSCRITA PERCAPITA 2024'!$N$40:$R$40)</f>
        <v>380.43360000000007</v>
      </c>
      <c r="T12" s="321">
        <f>SUM('[1]INSCRITA PERCAPITA 2024'!$S$40)</f>
        <v>335.75040000000001</v>
      </c>
      <c r="U12" s="324">
        <f t="shared" si="5"/>
        <v>716.18400000000008</v>
      </c>
      <c r="W12" s="321">
        <f>SUM('[1]INSCRITA PERCAPITA 2024'!$D$40:$S$40)</f>
        <v>1129.8168000000001</v>
      </c>
      <c r="Y12" s="321">
        <f t="shared" si="2"/>
        <v>4880.282400000001</v>
      </c>
      <c r="Z12" s="326">
        <f t="shared" si="3"/>
        <v>1073.6621280000002</v>
      </c>
      <c r="AB12" s="321">
        <f t="shared" si="6"/>
        <v>335.75040000000001</v>
      </c>
      <c r="AD12" s="321">
        <f>SUM('[1]INSCRITA PERCAPITA 2024'!$S$40:$T$40)</f>
        <v>689.87520000000006</v>
      </c>
      <c r="AE12" s="321">
        <f>SUM('[1]INSCRITA PERCAPITA 2024'!$U$40:$X$40)</f>
        <v>1474.1280000000002</v>
      </c>
      <c r="AF12" s="321">
        <f>SUM('[1]INSCRITA PERCAPITA 2024'!$Y$40:$AB$40)</f>
        <v>1163.0160000000001</v>
      </c>
      <c r="AG12" s="321">
        <f>SUM('[1]INSCRITA PERCAPITA 2024'!$AC$40:$AG$40)</f>
        <v>759.19680000000005</v>
      </c>
      <c r="AH12" s="326">
        <f t="shared" si="11"/>
        <v>550.43396640000003</v>
      </c>
      <c r="AJ12" s="321">
        <f t="shared" si="7"/>
        <v>689.87520000000006</v>
      </c>
      <c r="AK12" s="321">
        <f t="shared" si="8"/>
        <v>1474.1280000000002</v>
      </c>
      <c r="AL12" s="321">
        <f t="shared" si="9"/>
        <v>1163.0160000000001</v>
      </c>
      <c r="AM12" s="321">
        <f t="shared" si="10"/>
        <v>759.19680000000005</v>
      </c>
      <c r="AN12" s="326">
        <f t="shared" si="4"/>
        <v>1242.0981648000002</v>
      </c>
      <c r="AP12" s="321">
        <f>SUM('[1]INSCRITA PERCAPITA 2024'!$D$40:$F$40)</f>
        <v>80.388000000000005</v>
      </c>
      <c r="AR12" s="321">
        <f>SUM('[1]INSCRITA PERCAPITA 2024'!$D$40:$I$40)</f>
        <v>176.6448</v>
      </c>
    </row>
    <row r="13" spans="3:44" ht="15.95" customHeight="1" x14ac:dyDescent="0.2">
      <c r="C13" s="325" t="s">
        <v>15</v>
      </c>
      <c r="E13" s="326">
        <f>SUM(E6:E12)</f>
        <v>121593</v>
      </c>
      <c r="G13" s="326">
        <f t="shared" si="0"/>
        <v>36846.36363636364</v>
      </c>
      <c r="I13" s="326">
        <f>SUM(I6:I12)</f>
        <v>41112</v>
      </c>
      <c r="J13" s="326"/>
      <c r="K13" s="326"/>
      <c r="L13" s="326">
        <f t="shared" si="1"/>
        <v>41112</v>
      </c>
      <c r="M13" s="326">
        <f>SUM(M6:M12)</f>
        <v>34181</v>
      </c>
      <c r="N13" s="326"/>
      <c r="O13" s="326"/>
      <c r="P13" s="326"/>
      <c r="Q13" s="326">
        <f>SUM(Q6:Q12)</f>
        <v>22596.000000000004</v>
      </c>
      <c r="S13" s="327">
        <f t="shared" ref="S13:T13" si="12">SUM(S6:S12)</f>
        <v>7613</v>
      </c>
      <c r="T13" s="327">
        <f t="shared" si="12"/>
        <v>7507</v>
      </c>
      <c r="U13" s="327">
        <f>SUM(U6:U12)</f>
        <v>15120</v>
      </c>
      <c r="W13" s="327">
        <f>SUM(W6:W12)</f>
        <v>23704</v>
      </c>
      <c r="Y13" s="326">
        <f>SUM(Y6:Y12)</f>
        <v>121593</v>
      </c>
      <c r="Z13" s="326">
        <f t="shared" si="3"/>
        <v>26750.46</v>
      </c>
      <c r="AB13" s="326">
        <f>SUM(AB6:AB12)</f>
        <v>7507</v>
      </c>
      <c r="AD13" s="326">
        <f>SUM(AD6:AD12)</f>
        <v>15648</v>
      </c>
      <c r="AE13" s="326">
        <f>SUM(AE6:AE12)</f>
        <v>35848.999999999993</v>
      </c>
      <c r="AF13" s="326">
        <f>SUM(AF6:AF12)</f>
        <v>31303.000000000004</v>
      </c>
      <c r="AG13" s="326">
        <f>SUM(AG6:AG12)</f>
        <v>22596.000000000004</v>
      </c>
      <c r="AH13" s="326">
        <f t="shared" si="11"/>
        <v>15182.976000000002</v>
      </c>
      <c r="AJ13" s="326">
        <f>SUM(AJ6:AJ12)</f>
        <v>15648</v>
      </c>
      <c r="AK13" s="326">
        <f>SUM(AK6:AK12)</f>
        <v>35848.999999999993</v>
      </c>
      <c r="AL13" s="326">
        <f>SUM(AL6:AL12)</f>
        <v>31303.000000000004</v>
      </c>
      <c r="AM13" s="326">
        <f>SUM(AM6:AM12)</f>
        <v>22596.000000000004</v>
      </c>
      <c r="AN13" s="326">
        <f t="shared" si="4"/>
        <v>34590.051000000007</v>
      </c>
      <c r="AP13" s="326">
        <f>SUM(AP6:AP12)</f>
        <v>1625</v>
      </c>
      <c r="AR13" s="326">
        <f>SUM(AR6:AR12)</f>
        <v>3747</v>
      </c>
    </row>
    <row r="14" spans="3:44" ht="3.75" customHeight="1" thickBot="1" x14ac:dyDescent="0.25"/>
    <row r="15" spans="3:44" ht="15.95" customHeight="1" thickBot="1" x14ac:dyDescent="0.25">
      <c r="C15" s="328" t="s">
        <v>203</v>
      </c>
      <c r="D15" s="329"/>
      <c r="E15" s="330">
        <f>SUM(E13)</f>
        <v>121593</v>
      </c>
      <c r="F15" s="330"/>
      <c r="G15" s="330">
        <f t="shared" ref="G15:AR15" si="13">SUM(G13)</f>
        <v>36846.36363636364</v>
      </c>
      <c r="H15" s="330"/>
      <c r="I15" s="330">
        <f t="shared" si="13"/>
        <v>41112</v>
      </c>
      <c r="J15" s="330">
        <f t="shared" si="13"/>
        <v>0</v>
      </c>
      <c r="K15" s="330">
        <f t="shared" si="13"/>
        <v>0</v>
      </c>
      <c r="L15" s="330">
        <f t="shared" si="13"/>
        <v>41112</v>
      </c>
      <c r="M15" s="330">
        <f t="shared" si="13"/>
        <v>34181</v>
      </c>
      <c r="N15" s="330"/>
      <c r="O15" s="330"/>
      <c r="P15" s="330"/>
      <c r="Q15" s="330">
        <f t="shared" si="13"/>
        <v>22596.000000000004</v>
      </c>
      <c r="R15" s="330">
        <f t="shared" si="13"/>
        <v>0</v>
      </c>
      <c r="S15" s="330">
        <f t="shared" si="13"/>
        <v>7613</v>
      </c>
      <c r="T15" s="330">
        <f t="shared" si="13"/>
        <v>7507</v>
      </c>
      <c r="U15" s="330">
        <f t="shared" si="13"/>
        <v>15120</v>
      </c>
      <c r="V15" s="330">
        <f t="shared" si="13"/>
        <v>0</v>
      </c>
      <c r="W15" s="330">
        <f>SUM(W13)</f>
        <v>23704</v>
      </c>
      <c r="X15" s="330">
        <f t="shared" si="13"/>
        <v>0</v>
      </c>
      <c r="Y15" s="330">
        <f t="shared" si="13"/>
        <v>121593</v>
      </c>
      <c r="Z15" s="330">
        <f t="shared" si="13"/>
        <v>26750.46</v>
      </c>
      <c r="AA15" s="330">
        <f t="shared" si="13"/>
        <v>0</v>
      </c>
      <c r="AB15" s="330">
        <f t="shared" si="13"/>
        <v>7507</v>
      </c>
      <c r="AC15" s="330">
        <f t="shared" si="13"/>
        <v>0</v>
      </c>
      <c r="AD15" s="330">
        <f t="shared" si="13"/>
        <v>15648</v>
      </c>
      <c r="AE15" s="330">
        <f t="shared" si="13"/>
        <v>35848.999999999993</v>
      </c>
      <c r="AF15" s="330">
        <f t="shared" si="13"/>
        <v>31303.000000000004</v>
      </c>
      <c r="AG15" s="330">
        <f t="shared" si="13"/>
        <v>22596.000000000004</v>
      </c>
      <c r="AH15" s="330">
        <f t="shared" si="13"/>
        <v>15182.976000000002</v>
      </c>
      <c r="AI15" s="330">
        <f t="shared" si="13"/>
        <v>0</v>
      </c>
      <c r="AJ15" s="330">
        <f t="shared" si="13"/>
        <v>15648</v>
      </c>
      <c r="AK15" s="330">
        <f t="shared" si="13"/>
        <v>35848.999999999993</v>
      </c>
      <c r="AL15" s="330">
        <f t="shared" si="13"/>
        <v>31303.000000000004</v>
      </c>
      <c r="AM15" s="330">
        <f t="shared" si="13"/>
        <v>22596.000000000004</v>
      </c>
      <c r="AN15" s="330">
        <f t="shared" si="13"/>
        <v>34590.051000000007</v>
      </c>
      <c r="AO15" s="330">
        <f t="shared" si="13"/>
        <v>0</v>
      </c>
      <c r="AP15" s="330">
        <f t="shared" si="13"/>
        <v>1625</v>
      </c>
      <c r="AQ15" s="330">
        <f t="shared" si="13"/>
        <v>0</v>
      </c>
      <c r="AR15" s="330">
        <f t="shared" si="13"/>
        <v>3747</v>
      </c>
    </row>
    <row r="20" spans="38:38" x14ac:dyDescent="0.2">
      <c r="AL20" s="533" t="s">
        <v>426</v>
      </c>
    </row>
  </sheetData>
  <mergeCells count="7">
    <mergeCell ref="AJ4:AN4"/>
    <mergeCell ref="C4:C5"/>
    <mergeCell ref="I4:L4"/>
    <mergeCell ref="S4:U4"/>
    <mergeCell ref="Y4:Z4"/>
    <mergeCell ref="AD4:AH4"/>
    <mergeCell ref="M4:P4"/>
  </mergeCells>
  <hyperlinks>
    <hyperlink ref="AL20" r:id="rId1" xr:uid="{A07CA4D7-5797-47F6-8E57-40FACB421AD2}"/>
  </hyperlinks>
  <pageMargins left="0.7" right="0.7" top="0.75" bottom="0.75" header="0.3" footer="0.3"/>
  <pageSetup orientation="portrait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75EC-E3CF-4063-A031-5F749B9F86E5}">
  <sheetPr codeName="Hoja31"/>
  <dimension ref="A1:BH43"/>
  <sheetViews>
    <sheetView showGridLines="0" zoomScale="80" zoomScaleNormal="80" workbookViewId="0">
      <pane xSplit="1" ySplit="5" topLeftCell="B6" activePane="bottomRight" state="frozen"/>
      <selection activeCell="M17" sqref="M17"/>
      <selection pane="topRight" activeCell="M17" sqref="M17"/>
      <selection pane="bottomLeft" activeCell="M17" sqref="M17"/>
      <selection pane="bottomRight" activeCell="G6" sqref="G6"/>
    </sheetView>
  </sheetViews>
  <sheetFormatPr baseColWidth="10" defaultRowHeight="15" x14ac:dyDescent="0.25"/>
  <cols>
    <col min="1" max="1" width="20" style="383" customWidth="1"/>
    <col min="2" max="2" width="8.5703125" style="380" customWidth="1"/>
    <col min="3" max="3" width="44.5703125" style="383" customWidth="1"/>
    <col min="4" max="4" width="20.140625" style="383" bestFit="1" customWidth="1"/>
    <col min="5" max="5" width="8" style="380" customWidth="1"/>
    <col min="6" max="6" width="46.85546875" style="383" customWidth="1"/>
    <col min="7" max="7" width="45.5703125" style="383" customWidth="1"/>
    <col min="8" max="8" width="8" style="380" customWidth="1"/>
    <col min="9" max="9" width="39.85546875" style="383" customWidth="1"/>
    <col min="10" max="10" width="30.28515625" style="383" customWidth="1"/>
    <col min="11" max="11" width="7.140625" style="380" customWidth="1"/>
    <col min="12" max="12" width="27" style="383" customWidth="1"/>
    <col min="13" max="13" width="58.140625" style="383" customWidth="1"/>
    <col min="14" max="14" width="23.5703125" style="383" customWidth="1"/>
    <col min="15" max="15" width="26.5703125" style="383" customWidth="1"/>
    <col min="16" max="17" width="25" style="383" customWidth="1"/>
    <col min="18" max="18" width="20.7109375" style="383" customWidth="1"/>
    <col min="19" max="19" width="8.5703125" style="380" customWidth="1"/>
    <col min="20" max="20" width="25" style="383" customWidth="1"/>
    <col min="21" max="21" width="24.5703125" style="383" customWidth="1"/>
    <col min="22" max="22" width="8.5703125" style="380" customWidth="1"/>
    <col min="23" max="23" width="25" style="383" customWidth="1"/>
    <col min="24" max="24" width="23.7109375" style="383" customWidth="1"/>
    <col min="25" max="25" width="7.28515625" style="380" customWidth="1"/>
    <col min="26" max="26" width="22.7109375" style="383" customWidth="1"/>
    <col min="27" max="27" width="23.5703125" style="383" customWidth="1"/>
    <col min="28" max="28" width="7.28515625" style="380" customWidth="1"/>
    <col min="29" max="29" width="26.28515625" style="383" customWidth="1"/>
    <col min="30" max="30" width="24.7109375" style="383" customWidth="1"/>
    <col min="31" max="31" width="7.28515625" style="380" customWidth="1"/>
    <col min="32" max="32" width="27.85546875" style="383" customWidth="1"/>
    <col min="33" max="33" width="27.7109375" style="383" customWidth="1"/>
    <col min="34" max="34" width="28" style="383" customWidth="1"/>
    <col min="35" max="35" width="33" style="383" customWidth="1"/>
    <col min="36" max="36" width="24.42578125" style="383" customWidth="1"/>
    <col min="37" max="37" width="7.28515625" style="380" customWidth="1"/>
    <col min="38" max="38" width="36.7109375" style="383" customWidth="1"/>
    <col min="39" max="39" width="30" style="383" customWidth="1"/>
    <col min="40" max="40" width="7.28515625" style="380" customWidth="1"/>
    <col min="41" max="41" width="26.42578125" style="383" customWidth="1"/>
    <col min="42" max="42" width="25.7109375" style="383" customWidth="1"/>
    <col min="43" max="43" width="7.28515625" style="380" customWidth="1"/>
    <col min="44" max="44" width="27" style="383" customWidth="1"/>
    <col min="45" max="45" width="25.7109375" style="383" customWidth="1"/>
    <col min="46" max="46" width="7.28515625" style="380" customWidth="1"/>
    <col min="47" max="48" width="25.7109375" style="383" customWidth="1"/>
    <col min="49" max="49" width="7.28515625" style="380" customWidth="1"/>
    <col min="50" max="50" width="28.140625" style="383" customWidth="1"/>
    <col min="51" max="51" width="25.7109375" style="383" customWidth="1"/>
    <col min="52" max="52" width="7.28515625" style="380" customWidth="1"/>
    <col min="53" max="53" width="26.42578125" style="383" customWidth="1"/>
    <col min="54" max="54" width="25.7109375" style="383" customWidth="1"/>
    <col min="55" max="55" width="7.28515625" style="380" customWidth="1"/>
    <col min="56" max="56" width="29.5703125" style="383" customWidth="1"/>
    <col min="57" max="57" width="25.7109375" style="383" customWidth="1"/>
    <col min="58" max="58" width="7.28515625" style="380" customWidth="1"/>
    <col min="59" max="59" width="26.42578125" style="383" customWidth="1"/>
    <col min="60" max="60" width="25.7109375" style="383" customWidth="1"/>
    <col min="61" max="16384" width="11.42578125" style="383"/>
  </cols>
  <sheetData>
    <row r="1" spans="1:60" s="380" customFormat="1" x14ac:dyDescent="0.25">
      <c r="A1" s="377" t="s">
        <v>320</v>
      </c>
      <c r="B1" s="378"/>
      <c r="C1" s="379"/>
      <c r="D1" s="379"/>
      <c r="F1" s="381"/>
      <c r="G1" s="381"/>
      <c r="I1" s="381"/>
      <c r="J1" s="381"/>
      <c r="L1" s="381"/>
      <c r="M1" s="381"/>
      <c r="N1" s="381"/>
      <c r="O1" s="381"/>
      <c r="P1" s="381"/>
      <c r="Q1" s="381"/>
      <c r="R1" s="381"/>
      <c r="T1" s="381"/>
      <c r="U1" s="381"/>
      <c r="W1" s="381"/>
      <c r="X1" s="381"/>
      <c r="Z1" s="381"/>
      <c r="AA1" s="381"/>
      <c r="AC1" s="381"/>
      <c r="AD1" s="381"/>
      <c r="AF1" s="381"/>
      <c r="AG1" s="381"/>
      <c r="AH1" s="381"/>
      <c r="AI1" s="381"/>
      <c r="AJ1" s="381"/>
      <c r="AL1" s="381"/>
      <c r="AM1" s="381"/>
      <c r="AO1" s="381"/>
      <c r="AP1" s="381"/>
      <c r="AR1" s="381"/>
      <c r="AS1" s="381"/>
      <c r="AU1" s="381"/>
      <c r="AV1" s="381"/>
      <c r="AX1" s="381"/>
      <c r="AY1" s="381"/>
      <c r="BA1" s="381"/>
      <c r="BB1" s="381"/>
      <c r="BD1" s="381"/>
      <c r="BE1" s="381"/>
      <c r="BG1" s="381"/>
      <c r="BH1" s="381"/>
    </row>
    <row r="2" spans="1:60" s="380" customFormat="1" x14ac:dyDescent="0.25">
      <c r="A2" s="382"/>
    </row>
    <row r="3" spans="1:60" ht="41.25" customHeight="1" x14ac:dyDescent="0.25">
      <c r="A3" s="1066" t="s">
        <v>321</v>
      </c>
      <c r="B3" s="1067" t="s">
        <v>322</v>
      </c>
      <c r="C3" s="1067"/>
      <c r="D3" s="1067"/>
      <c r="E3" s="1067" t="s">
        <v>323</v>
      </c>
      <c r="F3" s="1067"/>
      <c r="G3" s="1067"/>
      <c r="H3" s="1063" t="s">
        <v>324</v>
      </c>
      <c r="I3" s="1063"/>
      <c r="J3" s="1063"/>
      <c r="K3" s="1063" t="s">
        <v>325</v>
      </c>
      <c r="L3" s="1063"/>
      <c r="M3" s="1063"/>
      <c r="N3" s="1063"/>
      <c r="O3" s="1063"/>
      <c r="P3" s="1063"/>
      <c r="Q3" s="1063"/>
      <c r="R3" s="1063"/>
      <c r="S3" s="1063" t="s">
        <v>326</v>
      </c>
      <c r="T3" s="1063"/>
      <c r="U3" s="1063"/>
      <c r="V3" s="1063" t="s">
        <v>327</v>
      </c>
      <c r="W3" s="1063"/>
      <c r="X3" s="1063"/>
      <c r="Y3" s="1063" t="s">
        <v>328</v>
      </c>
      <c r="Z3" s="1063"/>
      <c r="AA3" s="1063"/>
      <c r="AB3" s="1068" t="s">
        <v>329</v>
      </c>
      <c r="AC3" s="1068"/>
      <c r="AD3" s="1068"/>
      <c r="AE3" s="1068" t="s">
        <v>330</v>
      </c>
      <c r="AF3" s="1068"/>
      <c r="AG3" s="1068"/>
      <c r="AH3" s="1068"/>
      <c r="AI3" s="1068"/>
      <c r="AJ3" s="1068"/>
      <c r="AK3" s="1068" t="s">
        <v>331</v>
      </c>
      <c r="AL3" s="1068"/>
      <c r="AM3" s="1068"/>
      <c r="AN3" s="1063" t="s">
        <v>332</v>
      </c>
      <c r="AO3" s="1063"/>
      <c r="AP3" s="1063"/>
      <c r="AQ3" s="1063" t="s">
        <v>333</v>
      </c>
      <c r="AR3" s="1063"/>
      <c r="AS3" s="1063"/>
      <c r="AT3" s="1063" t="s">
        <v>334</v>
      </c>
      <c r="AU3" s="1063"/>
      <c r="AV3" s="1063"/>
      <c r="AW3" s="1063" t="s">
        <v>335</v>
      </c>
      <c r="AX3" s="1063"/>
      <c r="AY3" s="1063"/>
      <c r="AZ3" s="1063" t="s">
        <v>336</v>
      </c>
      <c r="BA3" s="1063"/>
      <c r="BB3" s="1063"/>
      <c r="BC3" s="1063" t="s">
        <v>337</v>
      </c>
      <c r="BD3" s="1063"/>
      <c r="BE3" s="1063"/>
      <c r="BF3" s="1063" t="s">
        <v>338</v>
      </c>
      <c r="BG3" s="1063"/>
      <c r="BH3" s="1063"/>
    </row>
    <row r="4" spans="1:60" ht="30.75" customHeight="1" x14ac:dyDescent="0.25">
      <c r="A4" s="1066"/>
      <c r="B4" s="1064" t="s">
        <v>339</v>
      </c>
      <c r="C4" s="384" t="s">
        <v>4</v>
      </c>
      <c r="D4" s="384" t="s">
        <v>5</v>
      </c>
      <c r="E4" s="1065" t="s">
        <v>340</v>
      </c>
      <c r="F4" s="384" t="s">
        <v>4</v>
      </c>
      <c r="G4" s="384" t="s">
        <v>5</v>
      </c>
      <c r="H4" s="1064" t="s">
        <v>339</v>
      </c>
      <c r="I4" s="384" t="s">
        <v>4</v>
      </c>
      <c r="J4" s="384" t="s">
        <v>5</v>
      </c>
      <c r="K4" s="1065" t="s">
        <v>340</v>
      </c>
      <c r="L4" s="384" t="s">
        <v>4</v>
      </c>
      <c r="M4" s="385" t="s">
        <v>341</v>
      </c>
      <c r="N4" s="384" t="s">
        <v>68</v>
      </c>
      <c r="O4" s="384" t="s">
        <v>69</v>
      </c>
      <c r="P4" s="384" t="s">
        <v>70</v>
      </c>
      <c r="Q4" s="384" t="s">
        <v>71</v>
      </c>
      <c r="R4" s="384" t="s">
        <v>72</v>
      </c>
      <c r="S4" s="1065" t="s">
        <v>340</v>
      </c>
      <c r="T4" s="384" t="s">
        <v>4</v>
      </c>
      <c r="U4" s="384" t="s">
        <v>5</v>
      </c>
      <c r="V4" s="1065" t="s">
        <v>340</v>
      </c>
      <c r="W4" s="384" t="s">
        <v>4</v>
      </c>
      <c r="X4" s="384" t="s">
        <v>5</v>
      </c>
      <c r="Y4" s="1065" t="s">
        <v>340</v>
      </c>
      <c r="Z4" s="384" t="s">
        <v>4</v>
      </c>
      <c r="AA4" s="384" t="s">
        <v>5</v>
      </c>
      <c r="AB4" s="1069" t="s">
        <v>340</v>
      </c>
      <c r="AC4" s="384" t="s">
        <v>4</v>
      </c>
      <c r="AD4" s="384" t="s">
        <v>5</v>
      </c>
      <c r="AE4" s="1069" t="s">
        <v>340</v>
      </c>
      <c r="AF4" s="385" t="s">
        <v>342</v>
      </c>
      <c r="AG4" s="384" t="s">
        <v>76</v>
      </c>
      <c r="AH4" s="384" t="s">
        <v>77</v>
      </c>
      <c r="AI4" s="384" t="s">
        <v>78</v>
      </c>
      <c r="AJ4" s="384" t="s">
        <v>5</v>
      </c>
      <c r="AK4" s="1069" t="s">
        <v>339</v>
      </c>
      <c r="AL4" s="384" t="s">
        <v>4</v>
      </c>
      <c r="AM4" s="384" t="s">
        <v>5</v>
      </c>
      <c r="AN4" s="1065" t="s">
        <v>340</v>
      </c>
      <c r="AO4" s="384" t="s">
        <v>4</v>
      </c>
      <c r="AP4" s="384" t="s">
        <v>5</v>
      </c>
      <c r="AQ4" s="1065" t="s">
        <v>340</v>
      </c>
      <c r="AR4" s="384" t="s">
        <v>4</v>
      </c>
      <c r="AS4" s="384" t="s">
        <v>5</v>
      </c>
      <c r="AT4" s="1065" t="s">
        <v>340</v>
      </c>
      <c r="AU4" s="384" t="s">
        <v>4</v>
      </c>
      <c r="AV4" s="384" t="s">
        <v>5</v>
      </c>
      <c r="AW4" s="1065" t="s">
        <v>340</v>
      </c>
      <c r="AX4" s="384" t="s">
        <v>4</v>
      </c>
      <c r="AY4" s="384" t="s">
        <v>5</v>
      </c>
      <c r="AZ4" s="1065" t="s">
        <v>340</v>
      </c>
      <c r="BA4" s="384" t="s">
        <v>4</v>
      </c>
      <c r="BB4" s="384" t="s">
        <v>5</v>
      </c>
      <c r="BC4" s="1065" t="s">
        <v>340</v>
      </c>
      <c r="BD4" s="384" t="s">
        <v>4</v>
      </c>
      <c r="BE4" s="384" t="s">
        <v>5</v>
      </c>
      <c r="BF4" s="1065" t="s">
        <v>340</v>
      </c>
      <c r="BG4" s="384" t="s">
        <v>4</v>
      </c>
      <c r="BH4" s="384" t="s">
        <v>5</v>
      </c>
    </row>
    <row r="5" spans="1:60" ht="82.5" customHeight="1" x14ac:dyDescent="0.25">
      <c r="A5" s="1066"/>
      <c r="B5" s="1064"/>
      <c r="C5" s="385" t="s">
        <v>41</v>
      </c>
      <c r="D5" s="385" t="s">
        <v>42</v>
      </c>
      <c r="E5" s="1065"/>
      <c r="F5" s="385" t="s">
        <v>343</v>
      </c>
      <c r="G5" s="385" t="s">
        <v>344</v>
      </c>
      <c r="H5" s="1064"/>
      <c r="I5" s="385" t="s">
        <v>345</v>
      </c>
      <c r="J5" s="385" t="s">
        <v>346</v>
      </c>
      <c r="K5" s="1065"/>
      <c r="L5" s="386" t="s">
        <v>347</v>
      </c>
      <c r="M5" s="385" t="s">
        <v>348</v>
      </c>
      <c r="N5" s="385" t="s">
        <v>349</v>
      </c>
      <c r="O5" s="385" t="s">
        <v>350</v>
      </c>
      <c r="P5" s="385" t="s">
        <v>351</v>
      </c>
      <c r="Q5" s="385" t="s">
        <v>219</v>
      </c>
      <c r="R5" s="385" t="s">
        <v>90</v>
      </c>
      <c r="S5" s="1065"/>
      <c r="T5" s="385" t="s">
        <v>352</v>
      </c>
      <c r="U5" s="385" t="s">
        <v>353</v>
      </c>
      <c r="V5" s="1065"/>
      <c r="W5" s="385" t="s">
        <v>354</v>
      </c>
      <c r="X5" s="385" t="s">
        <v>355</v>
      </c>
      <c r="Y5" s="1065"/>
      <c r="Z5" s="385" t="s">
        <v>356</v>
      </c>
      <c r="AA5" s="385" t="s">
        <v>357</v>
      </c>
      <c r="AB5" s="1069"/>
      <c r="AC5" s="385" t="s">
        <v>358</v>
      </c>
      <c r="AD5" s="385" t="s">
        <v>359</v>
      </c>
      <c r="AE5" s="1069"/>
      <c r="AF5" s="385" t="s">
        <v>360</v>
      </c>
      <c r="AG5" s="385" t="s">
        <v>361</v>
      </c>
      <c r="AH5" s="385" t="s">
        <v>362</v>
      </c>
      <c r="AI5" s="385" t="s">
        <v>363</v>
      </c>
      <c r="AJ5" s="385" t="s">
        <v>364</v>
      </c>
      <c r="AK5" s="1069"/>
      <c r="AL5" s="385" t="s">
        <v>365</v>
      </c>
      <c r="AM5" s="385" t="s">
        <v>366</v>
      </c>
      <c r="AN5" s="1065"/>
      <c r="AO5" s="385" t="s">
        <v>367</v>
      </c>
      <c r="AP5" s="385" t="s">
        <v>368</v>
      </c>
      <c r="AQ5" s="1065"/>
      <c r="AR5" s="385" t="s">
        <v>369</v>
      </c>
      <c r="AS5" s="385" t="s">
        <v>127</v>
      </c>
      <c r="AT5" s="1065"/>
      <c r="AU5" s="385" t="s">
        <v>370</v>
      </c>
      <c r="AV5" s="385" t="s">
        <v>129</v>
      </c>
      <c r="AW5" s="1065"/>
      <c r="AX5" s="385" t="s">
        <v>371</v>
      </c>
      <c r="AY5" s="385" t="s">
        <v>372</v>
      </c>
      <c r="AZ5" s="1065"/>
      <c r="BA5" s="385" t="s">
        <v>373</v>
      </c>
      <c r="BB5" s="385" t="s">
        <v>374</v>
      </c>
      <c r="BC5" s="1065"/>
      <c r="BD5" s="385" t="s">
        <v>375</v>
      </c>
      <c r="BE5" s="385" t="s">
        <v>376</v>
      </c>
      <c r="BF5" s="1065"/>
      <c r="BG5" s="385" t="s">
        <v>377</v>
      </c>
      <c r="BH5" s="385" t="s">
        <v>378</v>
      </c>
    </row>
    <row r="6" spans="1:60" ht="341.25" customHeight="1" x14ac:dyDescent="0.25">
      <c r="A6" s="387" t="s">
        <v>379</v>
      </c>
      <c r="B6" s="388" t="s">
        <v>380</v>
      </c>
      <c r="C6" s="389" t="s">
        <v>381</v>
      </c>
      <c r="D6" s="390" t="s">
        <v>382</v>
      </c>
      <c r="E6" s="388" t="s">
        <v>380</v>
      </c>
      <c r="F6" s="391" t="s">
        <v>383</v>
      </c>
      <c r="G6" s="389" t="s">
        <v>381</v>
      </c>
      <c r="H6" s="388" t="s">
        <v>380</v>
      </c>
      <c r="I6" s="392" t="s">
        <v>384</v>
      </c>
      <c r="J6" s="393" t="s">
        <v>385</v>
      </c>
      <c r="K6" s="388" t="s">
        <v>380</v>
      </c>
      <c r="L6" s="393" t="s">
        <v>386</v>
      </c>
      <c r="M6" s="394" t="s">
        <v>387</v>
      </c>
      <c r="N6" s="395" t="s">
        <v>388</v>
      </c>
      <c r="O6" s="396" t="s">
        <v>389</v>
      </c>
      <c r="P6" s="396" t="s">
        <v>390</v>
      </c>
      <c r="Q6" s="397" t="s">
        <v>391</v>
      </c>
      <c r="R6" s="398" t="s">
        <v>392</v>
      </c>
      <c r="S6" s="388" t="s">
        <v>380</v>
      </c>
      <c r="T6" s="399" t="s">
        <v>393</v>
      </c>
      <c r="U6" s="393" t="s">
        <v>394</v>
      </c>
      <c r="V6" s="388" t="s">
        <v>380</v>
      </c>
      <c r="W6" s="400" t="s">
        <v>395</v>
      </c>
      <c r="X6" s="393" t="s">
        <v>396</v>
      </c>
      <c r="Y6" s="388" t="s">
        <v>380</v>
      </c>
      <c r="Z6" s="401" t="s">
        <v>397</v>
      </c>
      <c r="AA6" s="393" t="s">
        <v>398</v>
      </c>
      <c r="AB6" s="388" t="s">
        <v>380</v>
      </c>
      <c r="AC6" s="400" t="s">
        <v>399</v>
      </c>
      <c r="AD6" s="398" t="s">
        <v>400</v>
      </c>
      <c r="AE6" s="388" t="s">
        <v>380</v>
      </c>
      <c r="AF6" s="402" t="s">
        <v>401</v>
      </c>
      <c r="AG6" s="403" t="s">
        <v>402</v>
      </c>
      <c r="AH6" s="404" t="s">
        <v>403</v>
      </c>
      <c r="AI6" s="404" t="s">
        <v>404</v>
      </c>
      <c r="AJ6" s="405" t="s">
        <v>405</v>
      </c>
      <c r="AK6" s="388" t="s">
        <v>380</v>
      </c>
      <c r="AL6" s="406" t="s">
        <v>406</v>
      </c>
      <c r="AM6" s="402" t="s">
        <v>401</v>
      </c>
      <c r="AN6" s="388" t="s">
        <v>380</v>
      </c>
      <c r="AO6" s="407" t="s">
        <v>407</v>
      </c>
      <c r="AP6" s="407" t="s">
        <v>407</v>
      </c>
      <c r="AQ6" s="388" t="s">
        <v>380</v>
      </c>
      <c r="AR6" s="400" t="s">
        <v>408</v>
      </c>
      <c r="AS6" s="400" t="s">
        <v>409</v>
      </c>
      <c r="AT6" s="388" t="s">
        <v>380</v>
      </c>
      <c r="AU6" s="400" t="s">
        <v>410</v>
      </c>
      <c r="AV6" s="393" t="s">
        <v>411</v>
      </c>
      <c r="AW6" s="388" t="s">
        <v>380</v>
      </c>
      <c r="AX6" s="407" t="s">
        <v>407</v>
      </c>
      <c r="AY6" s="396" t="s">
        <v>412</v>
      </c>
      <c r="AZ6" s="388" t="s">
        <v>380</v>
      </c>
      <c r="BA6" s="407" t="s">
        <v>413</v>
      </c>
      <c r="BB6" s="398" t="s">
        <v>414</v>
      </c>
      <c r="BC6" s="388" t="s">
        <v>380</v>
      </c>
      <c r="BD6" s="393" t="s">
        <v>415</v>
      </c>
      <c r="BE6" s="398" t="s">
        <v>416</v>
      </c>
      <c r="BF6" s="388" t="s">
        <v>380</v>
      </c>
      <c r="BG6" s="407" t="s">
        <v>407</v>
      </c>
      <c r="BH6" s="398" t="s">
        <v>414</v>
      </c>
    </row>
    <row r="7" spans="1:60" ht="22.5" customHeight="1" x14ac:dyDescent="0.25">
      <c r="A7" s="408"/>
      <c r="B7" s="409"/>
      <c r="C7" s="410"/>
      <c r="D7" s="410"/>
      <c r="E7" s="409"/>
      <c r="F7" s="410"/>
      <c r="G7" s="410"/>
      <c r="H7" s="409"/>
      <c r="I7" s="410"/>
      <c r="J7" s="410"/>
      <c r="K7" s="409"/>
      <c r="L7" s="410"/>
      <c r="M7" s="410"/>
      <c r="N7" s="411"/>
      <c r="O7" s="411"/>
      <c r="P7" s="411"/>
      <c r="Q7" s="411"/>
      <c r="R7" s="410"/>
      <c r="S7" s="409"/>
      <c r="T7" s="410"/>
      <c r="U7" s="410"/>
      <c r="V7" s="409"/>
      <c r="W7" s="410"/>
      <c r="X7" s="410"/>
      <c r="Y7" s="409"/>
      <c r="Z7" s="410"/>
      <c r="AA7" s="410"/>
      <c r="AB7" s="409"/>
      <c r="AC7" s="410"/>
      <c r="AD7" s="411"/>
      <c r="AE7" s="409"/>
      <c r="AF7" s="410"/>
      <c r="AG7" s="410"/>
      <c r="AH7" s="410"/>
      <c r="AI7" s="410"/>
      <c r="AJ7" s="410"/>
      <c r="AK7" s="409"/>
      <c r="AL7" s="410"/>
      <c r="AM7" s="410"/>
      <c r="AN7" s="409"/>
      <c r="AO7" s="410"/>
      <c r="AP7" s="410"/>
      <c r="AQ7" s="409"/>
      <c r="AR7" s="410"/>
      <c r="AS7" s="410"/>
      <c r="AT7" s="409"/>
      <c r="AU7" s="410"/>
      <c r="AV7" s="410"/>
      <c r="AW7" s="409"/>
      <c r="AX7" s="410"/>
      <c r="AY7" s="410"/>
      <c r="AZ7" s="409"/>
      <c r="BA7" s="410"/>
      <c r="BB7" s="410"/>
      <c r="BC7" s="409"/>
      <c r="BD7" s="410"/>
      <c r="BE7" s="410"/>
      <c r="BF7" s="409"/>
      <c r="BG7" s="410"/>
      <c r="BH7" s="410"/>
    </row>
    <row r="8" spans="1:60" s="380" customFormat="1" ht="16.5" x14ac:dyDescent="0.3">
      <c r="A8" s="412" t="s">
        <v>417</v>
      </c>
      <c r="F8" s="410"/>
    </row>
    <row r="9" spans="1:60" s="380" customFormat="1" x14ac:dyDescent="0.25">
      <c r="A9" s="413" t="s">
        <v>418</v>
      </c>
      <c r="F9" s="410"/>
    </row>
    <row r="10" spans="1:60" s="380" customFormat="1" x14ac:dyDescent="0.25">
      <c r="A10" s="414" t="s">
        <v>419</v>
      </c>
      <c r="F10" s="410"/>
    </row>
    <row r="11" spans="1:60" s="380" customFormat="1" x14ac:dyDescent="0.25">
      <c r="A11" s="413" t="s">
        <v>420</v>
      </c>
      <c r="F11" s="410"/>
    </row>
    <row r="12" spans="1:60" s="380" customFormat="1" x14ac:dyDescent="0.25">
      <c r="A12" s="412" t="s">
        <v>421</v>
      </c>
      <c r="F12" s="410"/>
    </row>
    <row r="13" spans="1:60" s="380" customFormat="1" x14ac:dyDescent="0.25">
      <c r="A13" s="412" t="s">
        <v>422</v>
      </c>
      <c r="F13" s="410"/>
    </row>
    <row r="14" spans="1:60" s="380" customFormat="1" x14ac:dyDescent="0.25">
      <c r="A14" s="415"/>
      <c r="F14" s="410"/>
    </row>
    <row r="15" spans="1:60" s="380" customFormat="1" ht="11.25" customHeight="1" x14ac:dyDescent="0.25">
      <c r="A15" s="416"/>
      <c r="F15" s="410"/>
    </row>
    <row r="16" spans="1:60" s="380" customFormat="1" x14ac:dyDescent="0.25">
      <c r="A16" s="416"/>
      <c r="F16" s="410"/>
    </row>
    <row r="17" spans="1:6" s="380" customFormat="1" x14ac:dyDescent="0.25">
      <c r="A17" s="417"/>
      <c r="F17" s="410"/>
    </row>
    <row r="18" spans="1:6" s="380" customFormat="1" x14ac:dyDescent="0.25">
      <c r="A18" s="416"/>
      <c r="F18" s="410"/>
    </row>
    <row r="19" spans="1:6" s="380" customFormat="1" x14ac:dyDescent="0.25">
      <c r="A19" s="416"/>
      <c r="F19" s="410"/>
    </row>
    <row r="20" spans="1:6" s="380" customFormat="1" x14ac:dyDescent="0.25">
      <c r="A20" s="416"/>
      <c r="F20" s="410"/>
    </row>
    <row r="21" spans="1:6" s="380" customFormat="1" x14ac:dyDescent="0.25">
      <c r="A21" s="418"/>
      <c r="F21" s="410"/>
    </row>
    <row r="22" spans="1:6" s="380" customFormat="1" x14ac:dyDescent="0.25">
      <c r="A22" s="415"/>
      <c r="F22" s="410"/>
    </row>
    <row r="23" spans="1:6" s="380" customFormat="1" x14ac:dyDescent="0.25">
      <c r="A23" s="416"/>
      <c r="F23" s="410"/>
    </row>
    <row r="24" spans="1:6" s="380" customFormat="1" x14ac:dyDescent="0.25">
      <c r="F24" s="410"/>
    </row>
    <row r="25" spans="1:6" s="380" customFormat="1" x14ac:dyDescent="0.25">
      <c r="A25" s="419"/>
      <c r="F25" s="410"/>
    </row>
    <row r="26" spans="1:6" s="380" customFormat="1" x14ac:dyDescent="0.25">
      <c r="F26" s="410"/>
    </row>
    <row r="27" spans="1:6" s="380" customFormat="1" x14ac:dyDescent="0.25">
      <c r="F27" s="410"/>
    </row>
    <row r="28" spans="1:6" s="380" customFormat="1" x14ac:dyDescent="0.25">
      <c r="F28" s="410"/>
    </row>
    <row r="29" spans="1:6" s="380" customFormat="1" x14ac:dyDescent="0.25"/>
    <row r="30" spans="1:6" s="380" customFormat="1" x14ac:dyDescent="0.25"/>
    <row r="31" spans="1:6" s="380" customFormat="1" x14ac:dyDescent="0.25"/>
    <row r="32" spans="1:6" s="380" customFormat="1" x14ac:dyDescent="0.25"/>
    <row r="33" s="380" customFormat="1" x14ac:dyDescent="0.25"/>
    <row r="34" s="380" customFormat="1" x14ac:dyDescent="0.25"/>
    <row r="35" s="380" customFormat="1" x14ac:dyDescent="0.25"/>
    <row r="36" s="380" customFormat="1" x14ac:dyDescent="0.25"/>
    <row r="37" s="380" customFormat="1" x14ac:dyDescent="0.25"/>
    <row r="38" s="380" customFormat="1" x14ac:dyDescent="0.25"/>
    <row r="39" s="380" customFormat="1" x14ac:dyDescent="0.25"/>
    <row r="40" s="380" customFormat="1" x14ac:dyDescent="0.25"/>
    <row r="41" s="380" customFormat="1" x14ac:dyDescent="0.25"/>
    <row r="42" s="380" customFormat="1" x14ac:dyDescent="0.25"/>
    <row r="43" s="380" customFormat="1" x14ac:dyDescent="0.25"/>
  </sheetData>
  <mergeCells count="35">
    <mergeCell ref="V4:V5"/>
    <mergeCell ref="Y4:Y5"/>
    <mergeCell ref="AB4:AB5"/>
    <mergeCell ref="AE4:AE5"/>
    <mergeCell ref="BF4:BF5"/>
    <mergeCell ref="AN4:AN5"/>
    <mergeCell ref="AQ4:AQ5"/>
    <mergeCell ref="AT4:AT5"/>
    <mergeCell ref="AW4:AW5"/>
    <mergeCell ref="AZ4:AZ5"/>
    <mergeCell ref="BC4:BC5"/>
    <mergeCell ref="AK4:AK5"/>
    <mergeCell ref="BF3:BH3"/>
    <mergeCell ref="V3:X3"/>
    <mergeCell ref="Y3:AA3"/>
    <mergeCell ref="AB3:AD3"/>
    <mergeCell ref="AE3:AJ3"/>
    <mergeCell ref="AK3:AM3"/>
    <mergeCell ref="AN3:AP3"/>
    <mergeCell ref="AQ3:AS3"/>
    <mergeCell ref="AT3:AV3"/>
    <mergeCell ref="AW3:AY3"/>
    <mergeCell ref="AZ3:BB3"/>
    <mergeCell ref="BC3:BE3"/>
    <mergeCell ref="A3:A5"/>
    <mergeCell ref="B3:D3"/>
    <mergeCell ref="E3:G3"/>
    <mergeCell ref="H3:J3"/>
    <mergeCell ref="K3:R3"/>
    <mergeCell ref="S3:U3"/>
    <mergeCell ref="B4:B5"/>
    <mergeCell ref="E4:E5"/>
    <mergeCell ref="H4:H5"/>
    <mergeCell ref="K4:K5"/>
    <mergeCell ref="S4:S5"/>
  </mergeCells>
  <pageMargins left="0.70866141732283472" right="0.31496062992125984" top="0.74803149606299213" bottom="0.35433070866141736" header="0.31496062992125984" footer="0"/>
  <pageSetup paperSize="9" scale="35" fitToWidth="5" orientation="landscape" r:id="rId1"/>
  <colBreaks count="1" manualBreakCount="1">
    <brk id="39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B30-0904-430A-B66E-701AE2C64137}">
  <sheetPr codeName="Hoja4"/>
  <dimension ref="A1:R36"/>
  <sheetViews>
    <sheetView zoomScale="85" zoomScaleNormal="85" workbookViewId="0">
      <selection activeCell="G38" sqref="G38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6" style="5" customWidth="1"/>
    <col min="9" max="9" width="19" style="5" customWidth="1"/>
    <col min="10" max="10" width="14.85546875" style="6" customWidth="1"/>
    <col min="11" max="11" width="12.5703125" style="5" customWidth="1"/>
    <col min="12" max="12" width="16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902" t="s">
        <v>0</v>
      </c>
      <c r="H1" s="902"/>
      <c r="I1" s="902"/>
      <c r="J1" s="902"/>
      <c r="K1" s="902"/>
      <c r="L1" s="902"/>
      <c r="M1" s="902"/>
      <c r="N1" s="902"/>
    </row>
    <row r="2" spans="1:18" s="2" customFormat="1" ht="28.5" x14ac:dyDescent="0.45">
      <c r="E2" s="3"/>
      <c r="F2" s="3"/>
      <c r="G2" s="903" t="s">
        <v>2</v>
      </c>
      <c r="H2" s="904"/>
      <c r="I2" s="904"/>
      <c r="J2" s="904"/>
      <c r="K2" s="905" t="str">
        <f>+NOMBRE!B7</f>
        <v>ENERO - OCTUBRE 2024</v>
      </c>
      <c r="L2" s="905"/>
      <c r="M2" s="905"/>
      <c r="N2" s="905"/>
    </row>
    <row r="3" spans="1:18" ht="3" customHeight="1" thickBot="1" x14ac:dyDescent="0.3"/>
    <row r="4" spans="1:18" ht="15" customHeight="1" x14ac:dyDescent="0.25">
      <c r="H4" s="906" t="s">
        <v>3</v>
      </c>
      <c r="I4" s="907"/>
      <c r="J4" s="907"/>
      <c r="K4" s="907"/>
      <c r="L4" s="907"/>
      <c r="M4" s="907"/>
      <c r="N4" s="908"/>
    </row>
    <row r="5" spans="1:18" ht="39.75" customHeight="1" thickBot="1" x14ac:dyDescent="0.3">
      <c r="H5" s="909"/>
      <c r="I5" s="910"/>
      <c r="J5" s="910"/>
      <c r="K5" s="910"/>
      <c r="L5" s="910"/>
      <c r="M5" s="910"/>
      <c r="N5" s="911"/>
    </row>
    <row r="6" spans="1:18" ht="16.5" customHeight="1" thickBot="1" x14ac:dyDescent="0.3">
      <c r="H6" s="7" t="s">
        <v>4</v>
      </c>
      <c r="I6" s="8" t="s">
        <v>5</v>
      </c>
      <c r="J6" s="912" t="s">
        <v>6</v>
      </c>
      <c r="K6" s="914">
        <f>+NOMBRE!$B$9</f>
        <v>2024</v>
      </c>
      <c r="L6" s="915"/>
      <c r="M6" s="916" t="s">
        <v>7</v>
      </c>
      <c r="N6" s="917"/>
    </row>
    <row r="7" spans="1:18" ht="72.75" customHeight="1" thickBot="1" x14ac:dyDescent="0.3">
      <c r="G7" s="9" t="s">
        <v>8</v>
      </c>
      <c r="H7" s="10" t="s">
        <v>9</v>
      </c>
      <c r="I7" s="11" t="s">
        <v>10</v>
      </c>
      <c r="J7" s="913"/>
      <c r="K7" s="12" t="s">
        <v>11</v>
      </c>
      <c r="L7" s="13" t="s">
        <v>12</v>
      </c>
      <c r="M7" s="14" t="s">
        <v>13</v>
      </c>
      <c r="N7" s="14" t="s">
        <v>14</v>
      </c>
    </row>
    <row r="8" spans="1:18" ht="15" customHeight="1" x14ac:dyDescent="0.3">
      <c r="A8"/>
      <c r="B8"/>
      <c r="C8" s="15"/>
      <c r="D8" s="15"/>
      <c r="G8" s="19" t="s">
        <v>15</v>
      </c>
      <c r="H8" s="20">
        <v>7</v>
      </c>
      <c r="I8" s="21">
        <v>7</v>
      </c>
      <c r="J8" s="22">
        <f t="shared" ref="J8" si="0">IF(AND(H8=0,I8=0),1,IF(I8=0,300,+H8/I8))</f>
        <v>1</v>
      </c>
      <c r="K8" s="23">
        <v>1</v>
      </c>
      <c r="L8" s="24">
        <f t="shared" ref="L8" si="1">+K8*1</f>
        <v>1</v>
      </c>
      <c r="M8" s="25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5.25" customHeight="1" thickBot="1" x14ac:dyDescent="0.3"/>
    <row r="10" spans="1:18" ht="18" thickBot="1" x14ac:dyDescent="0.35">
      <c r="G10" s="29" t="s">
        <v>20</v>
      </c>
      <c r="H10" s="30">
        <f>SUM(H8:H8)</f>
        <v>7</v>
      </c>
      <c r="I10" s="31">
        <f>SUM(I8:I8)</f>
        <v>7</v>
      </c>
      <c r="J10" s="32">
        <f>IF(AND(H10=0,I10=0),1,IF(I10=0,300,+H10/I10))</f>
        <v>1</v>
      </c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/>
      <c r="H14" s="5"/>
      <c r="I14" s="5"/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21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22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23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24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25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26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27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28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29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30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31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32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33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34</v>
      </c>
      <c r="H28" s="15" t="e">
        <f>+#REF!</f>
        <v>#REF!</v>
      </c>
      <c r="I28" s="15" t="e">
        <f>+#REF!</f>
        <v>#REF!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35</v>
      </c>
      <c r="H29" s="15">
        <f>+H8</f>
        <v>7</v>
      </c>
      <c r="I29" s="15">
        <f>+I8</f>
        <v>7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36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 t="s">
        <v>37</v>
      </c>
      <c r="H31" s="15" t="e">
        <f>+#REF!</f>
        <v>#REF!</v>
      </c>
      <c r="I31" s="15" t="e">
        <f>+#REF!</f>
        <v>#REF!</v>
      </c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  <row r="36" spans="1:18" s="6" customFormat="1" hidden="1" x14ac:dyDescent="0.25">
      <c r="A36" s="5"/>
      <c r="B36" s="5"/>
      <c r="C36" s="5"/>
      <c r="D36" s="5"/>
      <c r="G36" s="5"/>
      <c r="H36" s="5"/>
      <c r="I36" s="5"/>
      <c r="K36" s="5"/>
      <c r="L36" s="5"/>
      <c r="M36" s="5"/>
      <c r="N36" s="5"/>
      <c r="O36" s="5"/>
      <c r="P36" s="5"/>
      <c r="Q36" s="5"/>
      <c r="R36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B655-3BE2-4A43-AA10-EA2C5607F60E}">
  <sheetPr codeName="Hoja5"/>
  <dimension ref="A1:R35"/>
  <sheetViews>
    <sheetView zoomScale="85" zoomScaleNormal="85" workbookViewId="0">
      <selection activeCell="G9" sqref="G9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4.7109375" style="5" customWidth="1"/>
    <col min="9" max="9" width="18.5703125" style="5" customWidth="1"/>
    <col min="10" max="10" width="14.85546875" style="6" customWidth="1"/>
    <col min="11" max="11" width="12.5703125" style="5" customWidth="1"/>
    <col min="12" max="12" width="14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902" t="s">
        <v>0</v>
      </c>
      <c r="H1" s="902"/>
      <c r="I1" s="902"/>
      <c r="J1" s="902"/>
      <c r="K1" s="902"/>
      <c r="L1" s="902"/>
      <c r="M1" s="902"/>
      <c r="N1" s="902"/>
    </row>
    <row r="2" spans="1:18" s="2" customFormat="1" ht="28.5" x14ac:dyDescent="0.45">
      <c r="E2" s="3"/>
      <c r="F2" s="3"/>
      <c r="G2" s="903" t="s">
        <v>2</v>
      </c>
      <c r="H2" s="904"/>
      <c r="I2" s="904"/>
      <c r="J2" s="904"/>
      <c r="K2" s="905" t="str">
        <f>+NOMBRE!B7</f>
        <v>ENERO - OCTUBRE 2024</v>
      </c>
      <c r="L2" s="905"/>
      <c r="M2" s="905"/>
      <c r="N2" s="905"/>
    </row>
    <row r="3" spans="1:18" ht="3" customHeight="1" thickBot="1" x14ac:dyDescent="0.3"/>
    <row r="4" spans="1:18" ht="15" customHeight="1" x14ac:dyDescent="0.25">
      <c r="H4" s="906" t="s">
        <v>38</v>
      </c>
      <c r="I4" s="907"/>
      <c r="J4" s="907"/>
      <c r="K4" s="907"/>
      <c r="L4" s="907"/>
      <c r="M4" s="907"/>
      <c r="N4" s="908"/>
    </row>
    <row r="5" spans="1:18" ht="15.75" thickBot="1" x14ac:dyDescent="0.3">
      <c r="H5" s="909"/>
      <c r="I5" s="910"/>
      <c r="J5" s="910"/>
      <c r="K5" s="910"/>
      <c r="L5" s="910"/>
      <c r="M5" s="910"/>
      <c r="N5" s="911"/>
    </row>
    <row r="6" spans="1:18" ht="16.5" customHeight="1" thickBot="1" x14ac:dyDescent="0.3">
      <c r="H6" s="7" t="s">
        <v>4</v>
      </c>
      <c r="I6" s="8" t="s">
        <v>5</v>
      </c>
      <c r="J6" s="912" t="s">
        <v>6</v>
      </c>
      <c r="K6" s="914">
        <f>+NOMBRE!$B$9</f>
        <v>2024</v>
      </c>
      <c r="L6" s="915"/>
      <c r="M6" s="916" t="s">
        <v>7</v>
      </c>
      <c r="N6" s="917"/>
    </row>
    <row r="7" spans="1:18" ht="79.5" thickBot="1" x14ac:dyDescent="0.3">
      <c r="G7" s="9" t="s">
        <v>8</v>
      </c>
      <c r="H7" s="10" t="s">
        <v>39</v>
      </c>
      <c r="I7" s="11" t="s">
        <v>40</v>
      </c>
      <c r="J7" s="913"/>
      <c r="K7" s="12" t="s">
        <v>11</v>
      </c>
      <c r="L7" s="13" t="s">
        <v>12</v>
      </c>
      <c r="M7" s="14" t="s">
        <v>13</v>
      </c>
      <c r="N7" s="14" t="s">
        <v>14</v>
      </c>
    </row>
    <row r="8" spans="1:18" ht="15.75" customHeight="1" thickBot="1" x14ac:dyDescent="0.35">
      <c r="A8"/>
      <c r="B8"/>
      <c r="C8" s="15"/>
      <c r="D8" s="15"/>
      <c r="G8" s="19" t="s">
        <v>15</v>
      </c>
      <c r="H8" s="38">
        <v>9</v>
      </c>
      <c r="I8" s="39">
        <v>9</v>
      </c>
      <c r="J8" s="40">
        <f t="shared" ref="J8" si="0">IF(AND(H8=0,I8=0),1,IF(I8=0,300,+H8/I8))</f>
        <v>1</v>
      </c>
      <c r="K8" s="41">
        <v>1</v>
      </c>
      <c r="L8" s="42">
        <f t="shared" ref="L8" si="1">+K8*1</f>
        <v>1</v>
      </c>
      <c r="M8" s="43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15.75" customHeight="1" thickBot="1" x14ac:dyDescent="0.35">
      <c r="G9" s="29" t="s">
        <v>20</v>
      </c>
      <c r="H9" s="30">
        <f>SUM(H8:H8)</f>
        <v>9</v>
      </c>
      <c r="I9" s="31">
        <f>SUM(I8:I8)</f>
        <v>9</v>
      </c>
      <c r="J9" s="32">
        <f>IF(AND(H9=0,I9=0),1,IF(I9=0,300,+H9/I9))</f>
        <v>1</v>
      </c>
    </row>
    <row r="10" spans="1:18" ht="15.75" customHeight="1" x14ac:dyDescent="0.25"/>
    <row r="12" spans="1:18" s="6" customFormat="1" hidden="1" x14ac:dyDescent="0.25">
      <c r="A12" s="5"/>
      <c r="B12" s="5"/>
      <c r="C12" s="5"/>
      <c r="D12" s="5"/>
      <c r="G12" s="5"/>
      <c r="H12" s="5"/>
      <c r="I12" s="5"/>
      <c r="K12" s="5"/>
      <c r="L12" s="5"/>
      <c r="M12" s="5"/>
      <c r="N12" s="5"/>
      <c r="O12" s="5"/>
      <c r="P12" s="5"/>
      <c r="Q12" s="5"/>
      <c r="R12" s="5"/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 t="s">
        <v>21</v>
      </c>
      <c r="H14" s="15" t="e">
        <f>+#REF!</f>
        <v>#REF!</v>
      </c>
      <c r="I14" s="15" t="e">
        <f>+#REF!</f>
        <v>#REF!</v>
      </c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22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23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24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25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26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27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28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29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30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31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32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33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34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35</v>
      </c>
      <c r="H28" s="15">
        <f>+H8</f>
        <v>9</v>
      </c>
      <c r="I28" s="15">
        <f>+I8</f>
        <v>9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36</v>
      </c>
      <c r="H29" s="15" t="e">
        <f>+#REF!</f>
        <v>#REF!</v>
      </c>
      <c r="I29" s="15" t="e">
        <f>+#REF!</f>
        <v>#REF!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37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/>
      <c r="H31" s="5"/>
      <c r="I31" s="5"/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AA80-7C99-4172-9C3F-C5BDB5EBD9C1}">
  <sheetPr codeName="Hoja6">
    <tabColor rgb="FFFF0000"/>
  </sheetPr>
  <dimension ref="A1:AL38"/>
  <sheetViews>
    <sheetView zoomScale="60" zoomScaleNormal="60" workbookViewId="0">
      <selection activeCell="T15" sqref="T1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3.42578125" style="6" customWidth="1"/>
    <col min="7" max="7" width="57.140625" style="5" bestFit="1" customWidth="1"/>
    <col min="8" max="8" width="8" style="5" bestFit="1" customWidth="1"/>
    <col min="9" max="9" width="8.140625" style="5" bestFit="1" customWidth="1"/>
    <col min="10" max="10" width="8" style="5" bestFit="1" customWidth="1"/>
    <col min="11" max="13" width="9" style="5" bestFit="1" customWidth="1"/>
    <col min="14" max="14" width="9.42578125" style="5" bestFit="1" customWidth="1"/>
    <col min="15" max="15" width="9" style="5" bestFit="1" customWidth="1"/>
    <col min="16" max="16" width="7.5703125" style="5" bestFit="1" customWidth="1"/>
    <col min="17" max="17" width="8.42578125" style="5" bestFit="1" customWidth="1"/>
    <col min="18" max="18" width="9.140625" style="5" customWidth="1"/>
    <col min="19" max="19" width="8.28515625" style="5" customWidth="1"/>
    <col min="20" max="20" width="11.140625" style="5" bestFit="1" customWidth="1"/>
    <col min="21" max="21" width="22.28515625" style="5" customWidth="1"/>
    <col min="22" max="22" width="14.85546875" style="6" customWidth="1"/>
    <col min="23" max="23" width="16" style="5" customWidth="1"/>
    <col min="24" max="24" width="20.7109375" style="5" customWidth="1"/>
    <col min="25" max="25" width="15.85546875" style="5" bestFit="1" customWidth="1"/>
    <col min="26" max="26" width="18.42578125" style="57" customWidth="1"/>
    <col min="27" max="27" width="12.7109375" style="57" customWidth="1"/>
    <col min="28" max="28" width="12.5703125" style="57" bestFit="1" customWidth="1"/>
    <col min="29" max="31" width="12.7109375" style="5" customWidth="1"/>
    <col min="32" max="32" width="12.7109375" style="57" customWidth="1"/>
    <col min="33" max="36" width="12.7109375" style="5" customWidth="1"/>
    <col min="37" max="37" width="12.7109375" style="6" customWidth="1"/>
    <col min="38" max="38" width="11.42578125" style="6"/>
    <col min="39" max="16384" width="11.42578125" style="5"/>
  </cols>
  <sheetData>
    <row r="1" spans="1:38" s="2" customFormat="1" ht="21" customHeight="1" thickBot="1" x14ac:dyDescent="0.5">
      <c r="E1" s="3"/>
      <c r="F1" s="3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56"/>
      <c r="AB1" s="56"/>
      <c r="AF1" s="56"/>
      <c r="AK1" s="3"/>
      <c r="AL1" s="3"/>
    </row>
    <row r="2" spans="1:38" s="2" customFormat="1" ht="29.25" thickBot="1" x14ac:dyDescent="0.5">
      <c r="E2" s="3"/>
      <c r="F2" s="3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21" t="str">
        <f>+NOMBRE!B7</f>
        <v>ENERO - OCTUBRE 2024</v>
      </c>
      <c r="X2" s="922"/>
      <c r="Y2" s="922"/>
      <c r="Z2" s="923"/>
      <c r="AA2" s="809" t="s">
        <v>46</v>
      </c>
      <c r="AB2" s="810">
        <v>10</v>
      </c>
      <c r="AF2" s="56"/>
      <c r="AK2" s="3"/>
      <c r="AL2" s="3"/>
    </row>
    <row r="3" spans="1:38" ht="27.75" customHeight="1" thickBot="1" x14ac:dyDescent="0.3">
      <c r="AE3" s="724"/>
    </row>
    <row r="4" spans="1:38" ht="15" customHeight="1" x14ac:dyDescent="0.25">
      <c r="G4" s="58"/>
      <c r="H4" s="924" t="s">
        <v>512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07"/>
      <c r="V4" s="907"/>
      <c r="W4" s="907"/>
      <c r="X4" s="907"/>
      <c r="Y4" s="907"/>
      <c r="Z4" s="908"/>
      <c r="AA4" s="5"/>
      <c r="AB4" s="5"/>
      <c r="AD4" s="6"/>
      <c r="AF4" s="5"/>
      <c r="AG4" s="424" t="s">
        <v>45</v>
      </c>
      <c r="AH4" s="88">
        <v>12</v>
      </c>
      <c r="AI4" s="6"/>
      <c r="AJ4" s="6"/>
      <c r="AK4" s="5"/>
    </row>
    <row r="5" spans="1:38" ht="32.25" customHeight="1" thickBot="1" x14ac:dyDescent="0.3">
      <c r="G5" s="58"/>
      <c r="H5" s="925"/>
      <c r="I5" s="925"/>
      <c r="J5" s="925"/>
      <c r="K5" s="925"/>
      <c r="L5" s="925"/>
      <c r="M5" s="925"/>
      <c r="N5" s="925"/>
      <c r="O5" s="925"/>
      <c r="P5" s="925"/>
      <c r="Q5" s="925"/>
      <c r="R5" s="925"/>
      <c r="S5" s="925"/>
      <c r="T5" s="925"/>
      <c r="U5" s="925"/>
      <c r="V5" s="925"/>
      <c r="W5" s="925"/>
      <c r="X5" s="925"/>
      <c r="Y5" s="925"/>
      <c r="Z5" s="926"/>
      <c r="AA5" s="5"/>
      <c r="AB5" s="5"/>
      <c r="AD5" s="6"/>
      <c r="AF5" s="5"/>
      <c r="AG5" s="424" t="s">
        <v>46</v>
      </c>
      <c r="AH5" s="88">
        <f>AB2</f>
        <v>10</v>
      </c>
      <c r="AI5" s="6"/>
      <c r="AK5" s="5"/>
    </row>
    <row r="6" spans="1:38" ht="84.75" customHeight="1" thickBot="1" x14ac:dyDescent="0.3">
      <c r="G6" s="59"/>
      <c r="H6" s="933" t="s">
        <v>4</v>
      </c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5"/>
      <c r="U6" s="61" t="s">
        <v>5</v>
      </c>
      <c r="V6" s="927" t="s">
        <v>6</v>
      </c>
      <c r="W6" s="929">
        <f>+NOMBRE!$B$9</f>
        <v>2024</v>
      </c>
      <c r="X6" s="930"/>
      <c r="Y6" s="931" t="s">
        <v>7</v>
      </c>
      <c r="Z6" s="932"/>
      <c r="AA6" s="89" t="s">
        <v>47</v>
      </c>
      <c r="AB6" s="89" t="s">
        <v>48</v>
      </c>
      <c r="AC6" s="89" t="s">
        <v>49</v>
      </c>
      <c r="AD6" s="89" t="s">
        <v>50</v>
      </c>
      <c r="AE6" s="89" t="s">
        <v>51</v>
      </c>
      <c r="AF6" s="89" t="s">
        <v>52</v>
      </c>
      <c r="AG6" s="89" t="s">
        <v>45</v>
      </c>
      <c r="AH6" s="89" t="s">
        <v>53</v>
      </c>
      <c r="AI6" s="89" t="s">
        <v>54</v>
      </c>
      <c r="AJ6" s="89" t="s">
        <v>55</v>
      </c>
      <c r="AK6" s="89" t="s">
        <v>56</v>
      </c>
    </row>
    <row r="7" spans="1:38" ht="75.75" customHeight="1" thickBot="1" x14ac:dyDescent="0.3">
      <c r="G7" s="811" t="s">
        <v>431</v>
      </c>
      <c r="H7" s="918" t="s">
        <v>456</v>
      </c>
      <c r="I7" s="919"/>
      <c r="J7" s="919"/>
      <c r="K7" s="919"/>
      <c r="L7" s="919"/>
      <c r="M7" s="919"/>
      <c r="N7" s="919"/>
      <c r="O7" s="919"/>
      <c r="P7" s="919"/>
      <c r="Q7" s="919"/>
      <c r="R7" s="919"/>
      <c r="S7" s="920"/>
      <c r="T7" s="936" t="s">
        <v>201</v>
      </c>
      <c r="U7" s="11" t="s">
        <v>42</v>
      </c>
      <c r="V7" s="928"/>
      <c r="W7" s="12" t="s">
        <v>11</v>
      </c>
      <c r="X7" s="12" t="s">
        <v>463</v>
      </c>
      <c r="Y7" s="14" t="s">
        <v>13</v>
      </c>
      <c r="Z7" s="14" t="s">
        <v>44</v>
      </c>
      <c r="AA7" s="90" t="s">
        <v>57</v>
      </c>
      <c r="AB7" s="90" t="s">
        <v>58</v>
      </c>
      <c r="AC7" s="90" t="s">
        <v>59</v>
      </c>
      <c r="AD7" s="91" t="s">
        <v>60</v>
      </c>
      <c r="AE7" s="91" t="s">
        <v>61</v>
      </c>
      <c r="AF7" s="91" t="s">
        <v>62</v>
      </c>
      <c r="AG7" s="91" t="s">
        <v>63</v>
      </c>
      <c r="AH7" s="91" t="s">
        <v>64</v>
      </c>
      <c r="AI7" s="91" t="s">
        <v>65</v>
      </c>
      <c r="AJ7" s="92" t="s">
        <v>66</v>
      </c>
      <c r="AK7" s="92" t="s">
        <v>67</v>
      </c>
    </row>
    <row r="8" spans="1:38" ht="15" customHeight="1" thickBot="1" x14ac:dyDescent="0.3">
      <c r="A8"/>
      <c r="B8"/>
      <c r="C8" s="64"/>
      <c r="D8" s="65"/>
      <c r="E8" s="66"/>
      <c r="F8" s="62" t="s">
        <v>93</v>
      </c>
      <c r="G8" s="62" t="s">
        <v>94</v>
      </c>
      <c r="H8" s="461" t="s">
        <v>189</v>
      </c>
      <c r="I8" s="462" t="s">
        <v>190</v>
      </c>
      <c r="J8" s="462" t="s">
        <v>191</v>
      </c>
      <c r="K8" s="462" t="s">
        <v>192</v>
      </c>
      <c r="L8" s="462" t="s">
        <v>193</v>
      </c>
      <c r="M8" s="462" t="s">
        <v>194</v>
      </c>
      <c r="N8" s="462" t="s">
        <v>195</v>
      </c>
      <c r="O8" s="462" t="s">
        <v>196</v>
      </c>
      <c r="P8" s="462" t="s">
        <v>423</v>
      </c>
      <c r="Q8" s="462" t="s">
        <v>198</v>
      </c>
      <c r="R8" s="462" t="s">
        <v>199</v>
      </c>
      <c r="S8" s="463" t="s">
        <v>200</v>
      </c>
      <c r="T8" s="937"/>
      <c r="U8" s="536"/>
      <c r="V8" s="86"/>
      <c r="W8" s="673">
        <f>indicadores!E16</f>
        <v>1.08</v>
      </c>
      <c r="X8" s="480">
        <f>indicadores!$D$54</f>
        <v>0.7</v>
      </c>
      <c r="Y8" s="508"/>
      <c r="Z8" s="508"/>
      <c r="AA8" s="93" t="s">
        <v>68</v>
      </c>
      <c r="AB8" s="93" t="s">
        <v>69</v>
      </c>
      <c r="AC8" s="93" t="s">
        <v>70</v>
      </c>
      <c r="AD8" s="93" t="s">
        <v>71</v>
      </c>
      <c r="AE8" s="93" t="s">
        <v>72</v>
      </c>
      <c r="AF8" s="93" t="s">
        <v>73</v>
      </c>
      <c r="AG8" s="93" t="s">
        <v>74</v>
      </c>
      <c r="AH8" s="93" t="s">
        <v>75</v>
      </c>
      <c r="AI8" s="93" t="s">
        <v>76</v>
      </c>
      <c r="AJ8" s="93" t="s">
        <v>77</v>
      </c>
      <c r="AK8" s="93" t="s">
        <v>78</v>
      </c>
    </row>
    <row r="9" spans="1:38" ht="17.25" x14ac:dyDescent="0.3">
      <c r="A9"/>
      <c r="B9"/>
      <c r="C9" s="64"/>
      <c r="D9" s="65"/>
      <c r="E9" s="66"/>
      <c r="F9" s="429">
        <v>107307</v>
      </c>
      <c r="G9" s="19" t="s">
        <v>432</v>
      </c>
      <c r="H9" s="460">
        <f>+REMB!CY6</f>
        <v>2499</v>
      </c>
      <c r="I9" s="74">
        <f>+REMB!CZ6</f>
        <v>2631</v>
      </c>
      <c r="J9" s="74">
        <f>+REMB!DA6</f>
        <v>2326</v>
      </c>
      <c r="K9" s="74">
        <f>+REMB!DB6</f>
        <v>2425</v>
      </c>
      <c r="L9" s="74">
        <f>+REMB!DC6</f>
        <v>2554</v>
      </c>
      <c r="M9" s="74">
        <f>+REMB!DD6</f>
        <v>2581</v>
      </c>
      <c r="N9" s="74">
        <f>+REMB!DE6</f>
        <v>2778</v>
      </c>
      <c r="O9" s="74">
        <f>+REMB!DF6</f>
        <v>1893</v>
      </c>
      <c r="P9" s="74">
        <f>+REMB!DG6</f>
        <v>2117</v>
      </c>
      <c r="Q9" s="74">
        <f>+REMB!DH6</f>
        <v>4202</v>
      </c>
      <c r="R9" s="74">
        <f>+REMB!DI6</f>
        <v>0</v>
      </c>
      <c r="S9" s="74">
        <f>+REMB!DJ6</f>
        <v>0</v>
      </c>
      <c r="T9" s="422">
        <f>SUM(H9:S9)</f>
        <v>26006</v>
      </c>
      <c r="U9" s="80">
        <f>Poblacion2024!E6</f>
        <v>37740.906000000003</v>
      </c>
      <c r="V9" s="586">
        <f>+T9/U9</f>
        <v>0.68906665886611196</v>
      </c>
      <c r="W9" s="587">
        <f>$W$8</f>
        <v>1.08</v>
      </c>
      <c r="X9" s="76">
        <f>+W9*$X$8</f>
        <v>0.75600000000000001</v>
      </c>
      <c r="Y9" s="77">
        <f>IF(+V9/X9&gt;=1,1,+V9/X9)</f>
        <v>0.91146383447898405</v>
      </c>
      <c r="Z9" s="77">
        <f t="shared" ref="Z9:Z16" si="0">+Y9*6.25/100</f>
        <v>5.6966489654936503E-2</v>
      </c>
      <c r="AA9" s="94">
        <f>W9</f>
        <v>1.08</v>
      </c>
      <c r="AB9" s="94">
        <f>(AF9/AD9)</f>
        <v>0.68906665886611196</v>
      </c>
      <c r="AC9" s="425">
        <f>AB9/AA9</f>
        <v>0.63802468413528879</v>
      </c>
      <c r="AD9" s="96">
        <f>U9</f>
        <v>37740.906000000003</v>
      </c>
      <c r="AE9" s="97">
        <f>AD9*AA9</f>
        <v>40760.178480000002</v>
      </c>
      <c r="AF9" s="96">
        <f>T9</f>
        <v>26006</v>
      </c>
      <c r="AG9" s="97">
        <f>AE9/$AH$4</f>
        <v>3396.68154</v>
      </c>
      <c r="AH9" s="97">
        <f>AG9*$AH$5</f>
        <v>33966.815399999999</v>
      </c>
      <c r="AI9" s="97">
        <f>T9</f>
        <v>26006</v>
      </c>
      <c r="AJ9" s="426">
        <f>AI9/AH9</f>
        <v>0.76562962096234666</v>
      </c>
      <c r="AK9" s="427">
        <f>(AH9-AI9)*-1</f>
        <v>-7960.8153999999995</v>
      </c>
    </row>
    <row r="10" spans="1:38" ht="17.25" x14ac:dyDescent="0.3">
      <c r="A10"/>
      <c r="B10"/>
      <c r="C10" s="64"/>
      <c r="D10" s="65"/>
      <c r="E10" s="66"/>
      <c r="F10" s="430">
        <v>107308</v>
      </c>
      <c r="G10" s="19" t="s">
        <v>433</v>
      </c>
      <c r="H10" s="74">
        <f>+REMB!CY7</f>
        <v>1364</v>
      </c>
      <c r="I10" s="74">
        <f>+REMB!CZ7</f>
        <v>1424</v>
      </c>
      <c r="J10" s="74">
        <f>+REMB!DA7</f>
        <v>1484</v>
      </c>
      <c r="K10" s="74">
        <f>+REMB!DB7</f>
        <v>1650</v>
      </c>
      <c r="L10" s="74">
        <f>+REMB!DC7</f>
        <v>1943</v>
      </c>
      <c r="M10" s="74">
        <f>+REMB!DD7</f>
        <v>1683</v>
      </c>
      <c r="N10" s="74">
        <f>+REMB!DE7</f>
        <v>2587</v>
      </c>
      <c r="O10" s="74">
        <f>+REMB!DF7</f>
        <v>2425</v>
      </c>
      <c r="P10" s="74">
        <f>+REMB!DG7</f>
        <v>1854</v>
      </c>
      <c r="Q10" s="74">
        <f>+REMB!DH7</f>
        <v>1698</v>
      </c>
      <c r="R10" s="74">
        <f>+REMB!DI7</f>
        <v>0</v>
      </c>
      <c r="S10" s="74">
        <f>+REMB!DJ7</f>
        <v>0</v>
      </c>
      <c r="T10" s="421">
        <f t="shared" ref="T10:T15" si="1">SUM(H10:S10)</f>
        <v>18112</v>
      </c>
      <c r="U10" s="74">
        <f>Poblacion2024!E7</f>
        <v>23185</v>
      </c>
      <c r="V10" s="75">
        <f t="shared" ref="V10:V15" si="2">+T10/U10</f>
        <v>0.78119473797714034</v>
      </c>
      <c r="W10" s="587">
        <f t="shared" ref="W10:W16" si="3">$W$8</f>
        <v>1.08</v>
      </c>
      <c r="X10" s="76">
        <f t="shared" ref="X10:X16" si="4">+W10*$X$8</f>
        <v>0.75600000000000001</v>
      </c>
      <c r="Y10" s="77">
        <f>IF(+V10/X10&gt;=1,1,+V10/X10)</f>
        <v>1</v>
      </c>
      <c r="Z10" s="77">
        <f t="shared" si="0"/>
        <v>6.25E-2</v>
      </c>
      <c r="AA10" s="94">
        <f t="shared" ref="AA10:AA16" si="5">W10</f>
        <v>1.08</v>
      </c>
      <c r="AB10" s="94">
        <f t="shared" ref="AB10:AB16" si="6">(AF10/AD10)</f>
        <v>0.78119473797714034</v>
      </c>
      <c r="AC10" s="425">
        <f t="shared" ref="AC10:AC16" si="7">AB10/AA10</f>
        <v>0.72332846108994475</v>
      </c>
      <c r="AD10" s="96">
        <f t="shared" ref="AD10:AD16" si="8">U10</f>
        <v>23185</v>
      </c>
      <c r="AE10" s="97">
        <f t="shared" ref="AE10:AE16" si="9">AD10*AA10</f>
        <v>25039.800000000003</v>
      </c>
      <c r="AF10" s="96">
        <f t="shared" ref="AF10:AF16" si="10">T10</f>
        <v>18112</v>
      </c>
      <c r="AG10" s="97">
        <f t="shared" ref="AG10:AG16" si="11">AE10/$AH$4</f>
        <v>2086.65</v>
      </c>
      <c r="AH10" s="97">
        <f t="shared" ref="AH10:AH16" si="12">AG10*$AH$5</f>
        <v>20866.5</v>
      </c>
      <c r="AI10" s="97">
        <f t="shared" ref="AI10:AI16" si="13">T10</f>
        <v>18112</v>
      </c>
      <c r="AJ10" s="426">
        <f t="shared" ref="AJ10:AJ16" si="14">AI10/AH10</f>
        <v>0.86799415330793372</v>
      </c>
      <c r="AK10" s="427">
        <f t="shared" ref="AK10:AK16" si="15">(AH10-AI10)*-1</f>
        <v>-2754.5</v>
      </c>
    </row>
    <row r="11" spans="1:38" ht="17.25" x14ac:dyDescent="0.3">
      <c r="A11"/>
      <c r="B11"/>
      <c r="C11" s="64"/>
      <c r="D11" s="65"/>
      <c r="E11" s="66"/>
      <c r="F11" s="430">
        <v>107353</v>
      </c>
      <c r="G11" s="19" t="s">
        <v>434</v>
      </c>
      <c r="H11" s="74">
        <f>+REMB!CY8</f>
        <v>1054</v>
      </c>
      <c r="I11" s="74">
        <f>+REMB!CZ8</f>
        <v>3126</v>
      </c>
      <c r="J11" s="74">
        <f>+REMB!DA8</f>
        <v>1098</v>
      </c>
      <c r="K11" s="74">
        <f>+REMB!DB8</f>
        <v>1555</v>
      </c>
      <c r="L11" s="74">
        <f>+REMB!DC8</f>
        <v>1529</v>
      </c>
      <c r="M11" s="74">
        <f>+REMB!DD8</f>
        <v>1982</v>
      </c>
      <c r="N11" s="74">
        <f>+REMB!DE8</f>
        <v>1952</v>
      </c>
      <c r="O11" s="74">
        <f>+REMB!DF8</f>
        <v>1693</v>
      </c>
      <c r="P11" s="74">
        <f>+REMB!DG8</f>
        <v>1212</v>
      </c>
      <c r="Q11" s="74">
        <f>+REMB!DH8</f>
        <v>1738</v>
      </c>
      <c r="R11" s="74">
        <f>+REMB!DI8</f>
        <v>0</v>
      </c>
      <c r="S11" s="74">
        <f>+REMB!DJ8</f>
        <v>0</v>
      </c>
      <c r="T11" s="421">
        <f t="shared" si="1"/>
        <v>16939</v>
      </c>
      <c r="U11" s="74">
        <f>Poblacion2024!E8</f>
        <v>18288</v>
      </c>
      <c r="V11" s="75">
        <f t="shared" si="2"/>
        <v>0.92623578302712162</v>
      </c>
      <c r="W11" s="587">
        <f t="shared" si="3"/>
        <v>1.08</v>
      </c>
      <c r="X11" s="76">
        <f t="shared" si="4"/>
        <v>0.75600000000000001</v>
      </c>
      <c r="Y11" s="77">
        <f t="shared" ref="Y11:Y16" si="16">IF(+V11/X11&gt;=1,1,+V11/X11)</f>
        <v>1</v>
      </c>
      <c r="Z11" s="77">
        <f t="shared" si="0"/>
        <v>6.25E-2</v>
      </c>
      <c r="AA11" s="94">
        <f t="shared" si="5"/>
        <v>1.08</v>
      </c>
      <c r="AB11" s="94">
        <f t="shared" si="6"/>
        <v>0.92623578302712162</v>
      </c>
      <c r="AC11" s="425">
        <f t="shared" si="7"/>
        <v>0.85762572502511258</v>
      </c>
      <c r="AD11" s="96">
        <f t="shared" si="8"/>
        <v>18288</v>
      </c>
      <c r="AE11" s="97">
        <f t="shared" si="9"/>
        <v>19751.04</v>
      </c>
      <c r="AF11" s="96">
        <f t="shared" si="10"/>
        <v>16939</v>
      </c>
      <c r="AG11" s="97">
        <f t="shared" si="11"/>
        <v>1645.92</v>
      </c>
      <c r="AH11" s="97">
        <f t="shared" si="12"/>
        <v>16459.2</v>
      </c>
      <c r="AI11" s="97">
        <f t="shared" si="13"/>
        <v>16939</v>
      </c>
      <c r="AJ11" s="426">
        <f t="shared" si="14"/>
        <v>1.0291508700301351</v>
      </c>
      <c r="AK11" s="427">
        <f t="shared" si="15"/>
        <v>479.79999999999927</v>
      </c>
    </row>
    <row r="12" spans="1:38" ht="17.25" x14ac:dyDescent="0.3">
      <c r="A12"/>
      <c r="B12"/>
      <c r="C12" s="64"/>
      <c r="D12" s="65"/>
      <c r="E12" s="66"/>
      <c r="F12" s="430">
        <v>107356</v>
      </c>
      <c r="G12" s="19" t="s">
        <v>435</v>
      </c>
      <c r="H12" s="74">
        <f>+REMB!CY9</f>
        <v>2478</v>
      </c>
      <c r="I12" s="74">
        <f>+REMB!CZ9</f>
        <v>769</v>
      </c>
      <c r="J12" s="74">
        <f>+REMB!DA9</f>
        <v>1356</v>
      </c>
      <c r="K12" s="74">
        <f>+REMB!DB9</f>
        <v>1454</v>
      </c>
      <c r="L12" s="74">
        <f>+REMB!DC9</f>
        <v>1606</v>
      </c>
      <c r="M12" s="74">
        <f>+REMB!DD9</f>
        <v>1556</v>
      </c>
      <c r="N12" s="74">
        <f>+REMB!DE9</f>
        <v>1716</v>
      </c>
      <c r="O12" s="74">
        <f>+REMB!DF9</f>
        <v>1610</v>
      </c>
      <c r="P12" s="74">
        <f>+REMB!DG9</f>
        <v>1939</v>
      </c>
      <c r="Q12" s="74">
        <f>+REMB!DH9</f>
        <v>1618</v>
      </c>
      <c r="R12" s="74">
        <f>+REMB!DI9</f>
        <v>0</v>
      </c>
      <c r="S12" s="74">
        <f>+REMB!DJ9</f>
        <v>0</v>
      </c>
      <c r="T12" s="421">
        <f t="shared" si="1"/>
        <v>16102</v>
      </c>
      <c r="U12" s="74">
        <f>Poblacion2024!E9</f>
        <v>18492.717600000004</v>
      </c>
      <c r="V12" s="75">
        <f t="shared" si="2"/>
        <v>0.87072113186868738</v>
      </c>
      <c r="W12" s="587">
        <f t="shared" si="3"/>
        <v>1.08</v>
      </c>
      <c r="X12" s="76">
        <f t="shared" si="4"/>
        <v>0.75600000000000001</v>
      </c>
      <c r="Y12" s="77">
        <f t="shared" si="16"/>
        <v>1</v>
      </c>
      <c r="Z12" s="77">
        <f t="shared" si="0"/>
        <v>6.25E-2</v>
      </c>
      <c r="AA12" s="94">
        <f t="shared" si="5"/>
        <v>1.08</v>
      </c>
      <c r="AB12" s="94">
        <f t="shared" si="6"/>
        <v>0.87072113186868738</v>
      </c>
      <c r="AC12" s="425">
        <f t="shared" si="7"/>
        <v>0.8062232702487846</v>
      </c>
      <c r="AD12" s="96">
        <f t="shared" si="8"/>
        <v>18492.717600000004</v>
      </c>
      <c r="AE12" s="97">
        <f t="shared" si="9"/>
        <v>19972.135008000005</v>
      </c>
      <c r="AF12" s="96">
        <f t="shared" si="10"/>
        <v>16102</v>
      </c>
      <c r="AG12" s="97">
        <f t="shared" si="11"/>
        <v>1664.3445840000004</v>
      </c>
      <c r="AH12" s="97">
        <f t="shared" si="12"/>
        <v>16643.445840000004</v>
      </c>
      <c r="AI12" s="97">
        <f t="shared" si="13"/>
        <v>16102</v>
      </c>
      <c r="AJ12" s="426">
        <f t="shared" si="14"/>
        <v>0.96746792429854156</v>
      </c>
      <c r="AK12" s="427">
        <f t="shared" si="15"/>
        <v>-541.44584000000395</v>
      </c>
    </row>
    <row r="13" spans="1:38" ht="17.25" x14ac:dyDescent="0.3">
      <c r="A13"/>
      <c r="B13"/>
      <c r="C13" s="64"/>
      <c r="D13" s="65"/>
      <c r="E13" s="66"/>
      <c r="F13" s="430">
        <v>107357</v>
      </c>
      <c r="G13" s="19" t="s">
        <v>436</v>
      </c>
      <c r="H13" s="74">
        <f>+REMB!CY10</f>
        <v>1266</v>
      </c>
      <c r="I13" s="74">
        <f>+REMB!CZ10</f>
        <v>1906</v>
      </c>
      <c r="J13" s="74">
        <f>+REMB!DA10</f>
        <v>2171</v>
      </c>
      <c r="K13" s="74">
        <f>+REMB!DB10</f>
        <v>2575</v>
      </c>
      <c r="L13" s="74">
        <f>+REMB!DC10</f>
        <v>1888</v>
      </c>
      <c r="M13" s="74">
        <f>+REMB!DD10</f>
        <v>1820</v>
      </c>
      <c r="N13" s="74">
        <f>+REMB!DE10</f>
        <v>1820</v>
      </c>
      <c r="O13" s="74">
        <f>+REMB!DF10</f>
        <v>1864</v>
      </c>
      <c r="P13" s="74">
        <f>+REMB!DG10</f>
        <v>1550</v>
      </c>
      <c r="Q13" s="74">
        <f>+REMB!DH10</f>
        <v>1667</v>
      </c>
      <c r="R13" s="74">
        <f>+REMB!DI10</f>
        <v>0</v>
      </c>
      <c r="S13" s="74">
        <f>+REMB!DJ10</f>
        <v>0</v>
      </c>
      <c r="T13" s="421">
        <f t="shared" si="1"/>
        <v>18527</v>
      </c>
      <c r="U13" s="74">
        <f>Poblacion2024!E10</f>
        <v>18509</v>
      </c>
      <c r="V13" s="75">
        <f t="shared" si="2"/>
        <v>1.0009724998649305</v>
      </c>
      <c r="W13" s="587">
        <f t="shared" si="3"/>
        <v>1.08</v>
      </c>
      <c r="X13" s="76">
        <f t="shared" si="4"/>
        <v>0.75600000000000001</v>
      </c>
      <c r="Y13" s="77">
        <f t="shared" si="16"/>
        <v>1</v>
      </c>
      <c r="Z13" s="77">
        <f t="shared" si="0"/>
        <v>6.25E-2</v>
      </c>
      <c r="AA13" s="94">
        <f t="shared" si="5"/>
        <v>1.08</v>
      </c>
      <c r="AB13" s="94">
        <f t="shared" si="6"/>
        <v>1.0009724998649305</v>
      </c>
      <c r="AC13" s="425">
        <f t="shared" si="7"/>
        <v>0.9268263887638245</v>
      </c>
      <c r="AD13" s="96">
        <f t="shared" si="8"/>
        <v>18509</v>
      </c>
      <c r="AE13" s="97">
        <f t="shared" si="9"/>
        <v>19989.72</v>
      </c>
      <c r="AF13" s="96">
        <f t="shared" si="10"/>
        <v>18527</v>
      </c>
      <c r="AG13" s="97">
        <f t="shared" si="11"/>
        <v>1665.8100000000002</v>
      </c>
      <c r="AH13" s="97">
        <f t="shared" si="12"/>
        <v>16658.100000000002</v>
      </c>
      <c r="AI13" s="97">
        <f t="shared" si="13"/>
        <v>18527</v>
      </c>
      <c r="AJ13" s="426">
        <f t="shared" si="14"/>
        <v>1.1121916665165894</v>
      </c>
      <c r="AK13" s="427">
        <f t="shared" si="15"/>
        <v>1868.8999999999978</v>
      </c>
    </row>
    <row r="14" spans="1:38" ht="17.25" x14ac:dyDescent="0.3">
      <c r="A14"/>
      <c r="B14"/>
      <c r="C14" s="64"/>
      <c r="D14" s="65"/>
      <c r="E14" s="66"/>
      <c r="F14" s="430">
        <v>107400</v>
      </c>
      <c r="G14" s="19" t="s">
        <v>437</v>
      </c>
      <c r="H14" s="74">
        <f>+REMB!CY11</f>
        <v>73</v>
      </c>
      <c r="I14" s="74">
        <f>+REMB!CZ11</f>
        <v>26</v>
      </c>
      <c r="J14" s="74">
        <f>+REMB!DA11</f>
        <v>37</v>
      </c>
      <c r="K14" s="74">
        <f>+REMB!DB11</f>
        <v>67</v>
      </c>
      <c r="L14" s="74">
        <f>+REMB!DC11</f>
        <v>58</v>
      </c>
      <c r="M14" s="74">
        <f>+REMB!DD11</f>
        <v>24</v>
      </c>
      <c r="N14" s="74">
        <f>+REMB!DE11</f>
        <v>46</v>
      </c>
      <c r="O14" s="74">
        <f>+REMB!DF11</f>
        <v>69</v>
      </c>
      <c r="P14" s="74">
        <f>+REMB!DG11</f>
        <v>29</v>
      </c>
      <c r="Q14" s="74">
        <f>+REMB!DH11</f>
        <v>49</v>
      </c>
      <c r="R14" s="74">
        <f>+REMB!DI11</f>
        <v>0</v>
      </c>
      <c r="S14" s="74">
        <f>+REMB!DJ11</f>
        <v>0</v>
      </c>
      <c r="T14" s="421">
        <f t="shared" si="1"/>
        <v>478</v>
      </c>
      <c r="U14" s="74">
        <f>Poblacion2024!E11</f>
        <v>497.09399999999994</v>
      </c>
      <c r="V14" s="75">
        <f t="shared" si="2"/>
        <v>0.96158875383730247</v>
      </c>
      <c r="W14" s="587">
        <f t="shared" si="3"/>
        <v>1.08</v>
      </c>
      <c r="X14" s="76">
        <f t="shared" si="4"/>
        <v>0.75600000000000001</v>
      </c>
      <c r="Y14" s="77">
        <f t="shared" si="16"/>
        <v>1</v>
      </c>
      <c r="Z14" s="77">
        <f t="shared" si="0"/>
        <v>6.25E-2</v>
      </c>
      <c r="AA14" s="94">
        <f t="shared" si="5"/>
        <v>1.08</v>
      </c>
      <c r="AB14" s="94">
        <f t="shared" si="6"/>
        <v>0.96158875383730247</v>
      </c>
      <c r="AC14" s="425">
        <f t="shared" si="7"/>
        <v>0.89035995725676154</v>
      </c>
      <c r="AD14" s="96">
        <f t="shared" si="8"/>
        <v>497.09399999999994</v>
      </c>
      <c r="AE14" s="97">
        <f t="shared" si="9"/>
        <v>536.86151999999993</v>
      </c>
      <c r="AF14" s="96">
        <f t="shared" si="10"/>
        <v>478</v>
      </c>
      <c r="AG14" s="97">
        <f t="shared" si="11"/>
        <v>44.738459999999996</v>
      </c>
      <c r="AH14" s="97">
        <f t="shared" si="12"/>
        <v>447.38459999999998</v>
      </c>
      <c r="AI14" s="97">
        <f t="shared" si="13"/>
        <v>478</v>
      </c>
      <c r="AJ14" s="426">
        <f t="shared" si="14"/>
        <v>1.0684319487081138</v>
      </c>
      <c r="AK14" s="427">
        <f t="shared" si="15"/>
        <v>30.615400000000022</v>
      </c>
    </row>
    <row r="15" spans="1:38" ht="18" thickBot="1" x14ac:dyDescent="0.35">
      <c r="A15"/>
      <c r="B15"/>
      <c r="C15" s="64"/>
      <c r="D15" s="65"/>
      <c r="E15" s="66"/>
      <c r="F15" s="431">
        <v>107756</v>
      </c>
      <c r="G15" s="28" t="s">
        <v>438</v>
      </c>
      <c r="H15" s="114">
        <f>+REMB!CY12</f>
        <v>597</v>
      </c>
      <c r="I15" s="114">
        <f>+REMB!CZ12</f>
        <v>449</v>
      </c>
      <c r="J15" s="114">
        <f>+REMB!DA12</f>
        <v>550</v>
      </c>
      <c r="K15" s="114">
        <f>+REMB!DB12</f>
        <v>661</v>
      </c>
      <c r="L15" s="114">
        <f>+REMB!DC12</f>
        <v>745</v>
      </c>
      <c r="M15" s="114">
        <f>+REMB!DD12</f>
        <v>574</v>
      </c>
      <c r="N15" s="114">
        <f>+REMB!DE12</f>
        <v>650</v>
      </c>
      <c r="O15" s="114">
        <f>+REMB!DF12</f>
        <v>501</v>
      </c>
      <c r="P15" s="114">
        <f>+REMB!DG12</f>
        <v>540</v>
      </c>
      <c r="Q15" s="114">
        <f>+REMB!DH12</f>
        <v>707</v>
      </c>
      <c r="R15" s="114">
        <f>+REMB!DI12</f>
        <v>0</v>
      </c>
      <c r="S15" s="114">
        <f>+REMB!DJ12</f>
        <v>0</v>
      </c>
      <c r="T15" s="574">
        <f t="shared" si="1"/>
        <v>5974</v>
      </c>
      <c r="U15" s="114">
        <f>Poblacion2024!E12</f>
        <v>4880.282400000001</v>
      </c>
      <c r="V15" s="575">
        <f t="shared" si="2"/>
        <v>1.2241094900573783</v>
      </c>
      <c r="W15" s="674">
        <f t="shared" si="3"/>
        <v>1.08</v>
      </c>
      <c r="X15" s="576">
        <f t="shared" si="4"/>
        <v>0.75600000000000001</v>
      </c>
      <c r="Y15" s="77">
        <f t="shared" si="16"/>
        <v>1</v>
      </c>
      <c r="Z15" s="77">
        <f t="shared" si="0"/>
        <v>6.25E-2</v>
      </c>
      <c r="AA15" s="554">
        <f t="shared" si="5"/>
        <v>1.08</v>
      </c>
      <c r="AB15" s="554">
        <f t="shared" si="6"/>
        <v>1.2241094900573783</v>
      </c>
      <c r="AC15" s="577">
        <f t="shared" si="7"/>
        <v>1.1334347130160909</v>
      </c>
      <c r="AD15" s="96">
        <f t="shared" si="8"/>
        <v>4880.282400000001</v>
      </c>
      <c r="AE15" s="97">
        <f t="shared" si="9"/>
        <v>5270.7049920000018</v>
      </c>
      <c r="AF15" s="96">
        <f t="shared" si="10"/>
        <v>5974</v>
      </c>
      <c r="AG15" s="97">
        <f t="shared" si="11"/>
        <v>439.22541600000017</v>
      </c>
      <c r="AH15" s="97">
        <f t="shared" si="12"/>
        <v>4392.2541600000013</v>
      </c>
      <c r="AI15" s="97">
        <f t="shared" si="13"/>
        <v>5974</v>
      </c>
      <c r="AJ15" s="578">
        <f t="shared" si="14"/>
        <v>1.3601216556193092</v>
      </c>
      <c r="AK15" s="427">
        <f t="shared" si="15"/>
        <v>1581.7458399999987</v>
      </c>
    </row>
    <row r="16" spans="1:38" ht="15" customHeight="1" thickBot="1" x14ac:dyDescent="0.35">
      <c r="A16"/>
      <c r="B16"/>
      <c r="C16" s="64"/>
      <c r="D16" s="65"/>
      <c r="E16" s="66"/>
      <c r="F16" s="67"/>
      <c r="G16" s="580" t="s">
        <v>15</v>
      </c>
      <c r="H16" s="84">
        <f>SUM(H9:H15)</f>
        <v>9331</v>
      </c>
      <c r="I16" s="84">
        <f t="shared" ref="I16:S16" si="17">SUM(I9:I15)</f>
        <v>10331</v>
      </c>
      <c r="J16" s="84">
        <f t="shared" si="17"/>
        <v>9022</v>
      </c>
      <c r="K16" s="84">
        <f t="shared" si="17"/>
        <v>10387</v>
      </c>
      <c r="L16" s="84">
        <f t="shared" si="17"/>
        <v>10323</v>
      </c>
      <c r="M16" s="84">
        <f t="shared" si="17"/>
        <v>10220</v>
      </c>
      <c r="N16" s="84">
        <f t="shared" si="17"/>
        <v>11549</v>
      </c>
      <c r="O16" s="84">
        <f t="shared" si="17"/>
        <v>10055</v>
      </c>
      <c r="P16" s="84">
        <f t="shared" si="17"/>
        <v>9241</v>
      </c>
      <c r="Q16" s="84">
        <f t="shared" si="17"/>
        <v>11679</v>
      </c>
      <c r="R16" s="84">
        <f t="shared" si="17"/>
        <v>0</v>
      </c>
      <c r="S16" s="84">
        <f t="shared" si="17"/>
        <v>0</v>
      </c>
      <c r="T16" s="581">
        <f>SUM(T9:T15)</f>
        <v>102138</v>
      </c>
      <c r="U16" s="536">
        <f>SUM(U9:U15)</f>
        <v>121593</v>
      </c>
      <c r="V16" s="86">
        <f>+T16/U16</f>
        <v>0.83999901310108316</v>
      </c>
      <c r="W16" s="675">
        <f t="shared" si="3"/>
        <v>1.08</v>
      </c>
      <c r="X16" s="582">
        <f t="shared" si="4"/>
        <v>0.75600000000000001</v>
      </c>
      <c r="Y16" s="508">
        <f t="shared" si="16"/>
        <v>1</v>
      </c>
      <c r="Z16" s="508">
        <f t="shared" si="0"/>
        <v>6.25E-2</v>
      </c>
      <c r="AA16" s="748">
        <f t="shared" si="5"/>
        <v>1.08</v>
      </c>
      <c r="AB16" s="747">
        <f t="shared" si="6"/>
        <v>0.83999901310108316</v>
      </c>
      <c r="AC16" s="583">
        <f t="shared" si="7"/>
        <v>0.77777686398248436</v>
      </c>
      <c r="AD16" s="544">
        <f t="shared" si="8"/>
        <v>121593</v>
      </c>
      <c r="AE16" s="545">
        <f t="shared" si="9"/>
        <v>131320.44</v>
      </c>
      <c r="AF16" s="544">
        <f t="shared" si="10"/>
        <v>102138</v>
      </c>
      <c r="AG16" s="545">
        <f t="shared" si="11"/>
        <v>10943.37</v>
      </c>
      <c r="AH16" s="545">
        <f t="shared" si="12"/>
        <v>109433.70000000001</v>
      </c>
      <c r="AI16" s="545">
        <f t="shared" si="13"/>
        <v>102138</v>
      </c>
      <c r="AJ16" s="584">
        <f t="shared" si="14"/>
        <v>0.93333223677898114</v>
      </c>
      <c r="AK16" s="427">
        <f t="shared" si="15"/>
        <v>-7295.7000000000116</v>
      </c>
    </row>
    <row r="17" spans="7:22" x14ac:dyDescent="0.25"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spans="7:22" ht="18" hidden="1" thickBot="1" x14ac:dyDescent="0.35">
      <c r="G18" s="29" t="s">
        <v>20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>
        <f>SUM(U8:U16)</f>
        <v>243186</v>
      </c>
      <c r="V18" s="86" t="e">
        <f>+#REF!/U18</f>
        <v>#REF!</v>
      </c>
    </row>
    <row r="20" spans="7:22" x14ac:dyDescent="0.25">
      <c r="H20"/>
      <c r="I20"/>
      <c r="J20"/>
    </row>
    <row r="21" spans="7:22" x14ac:dyDescent="0.25">
      <c r="H21"/>
      <c r="I21"/>
      <c r="J21"/>
    </row>
    <row r="22" spans="7:22" x14ac:dyDescent="0.25">
      <c r="H22"/>
      <c r="I22"/>
      <c r="J22"/>
    </row>
    <row r="23" spans="7:22" x14ac:dyDescent="0.25">
      <c r="H23"/>
      <c r="I23"/>
      <c r="J23"/>
    </row>
    <row r="24" spans="7:22" x14ac:dyDescent="0.25">
      <c r="H24"/>
      <c r="I24"/>
      <c r="J24"/>
    </row>
    <row r="25" spans="7:22" x14ac:dyDescent="0.25">
      <c r="H25"/>
      <c r="I25"/>
      <c r="J25"/>
    </row>
    <row r="26" spans="7:22" x14ac:dyDescent="0.25">
      <c r="H26"/>
      <c r="I26"/>
      <c r="J26"/>
    </row>
    <row r="27" spans="7:22" x14ac:dyDescent="0.25">
      <c r="H27"/>
      <c r="I27"/>
      <c r="J27"/>
    </row>
    <row r="28" spans="7:22" x14ac:dyDescent="0.25">
      <c r="H28"/>
      <c r="I28"/>
      <c r="J28"/>
    </row>
    <row r="29" spans="7:22" x14ac:dyDescent="0.25">
      <c r="H29"/>
      <c r="I29"/>
      <c r="J29"/>
    </row>
    <row r="30" spans="7:22" x14ac:dyDescent="0.25">
      <c r="H30"/>
      <c r="I30"/>
      <c r="J30"/>
    </row>
    <row r="31" spans="7:22" x14ac:dyDescent="0.25">
      <c r="H31"/>
      <c r="I31"/>
      <c r="J31"/>
    </row>
    <row r="32" spans="7:22" x14ac:dyDescent="0.25">
      <c r="H32"/>
      <c r="I32"/>
      <c r="J32"/>
    </row>
    <row r="33" spans="8:10" x14ac:dyDescent="0.25">
      <c r="H33"/>
      <c r="I33"/>
      <c r="J33"/>
    </row>
    <row r="34" spans="8:10" x14ac:dyDescent="0.25">
      <c r="H34"/>
      <c r="I34"/>
      <c r="J34"/>
    </row>
    <row r="35" spans="8:10" x14ac:dyDescent="0.25">
      <c r="H35"/>
      <c r="I35"/>
      <c r="J35"/>
    </row>
    <row r="36" spans="8:10" x14ac:dyDescent="0.25">
      <c r="H36"/>
      <c r="I36"/>
      <c r="J36"/>
    </row>
    <row r="37" spans="8:10" x14ac:dyDescent="0.25">
      <c r="H37"/>
      <c r="I37"/>
      <c r="J37"/>
    </row>
    <row r="38" spans="8:10" x14ac:dyDescent="0.25">
      <c r="H38"/>
      <c r="I38"/>
      <c r="J38"/>
    </row>
  </sheetData>
  <mergeCells count="10">
    <mergeCell ref="H7:S7"/>
    <mergeCell ref="G1:Z1"/>
    <mergeCell ref="G2:V2"/>
    <mergeCell ref="W2:Z2"/>
    <mergeCell ref="H4:Z5"/>
    <mergeCell ref="V6:V7"/>
    <mergeCell ref="W6:X6"/>
    <mergeCell ref="Y6:Z6"/>
    <mergeCell ref="H6:T6"/>
    <mergeCell ref="T7:T8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66D9-0140-4ABE-92B4-3F681901B5D7}">
  <sheetPr codeName="Hoja7">
    <tabColor rgb="FFFF0000"/>
  </sheetPr>
  <dimension ref="A1:AY44"/>
  <sheetViews>
    <sheetView zoomScale="77" zoomScaleNormal="77" workbookViewId="0">
      <selection activeCell="Q15" sqref="Q1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9" style="102" bestFit="1" customWidth="1"/>
    <col min="7" max="7" width="31.140625" style="5" customWidth="1"/>
    <col min="8" max="8" width="14.42578125" style="5" customWidth="1"/>
    <col min="9" max="20" width="9.7109375" style="5" customWidth="1"/>
    <col min="21" max="21" width="9.28515625" style="5" bestFit="1" customWidth="1"/>
    <col min="22" max="22" width="8.140625" style="5" bestFit="1" customWidth="1"/>
    <col min="23" max="23" width="6.85546875" style="5" bestFit="1" customWidth="1"/>
    <col min="24" max="24" width="8.140625" style="5" bestFit="1" customWidth="1"/>
    <col min="25" max="25" width="9" style="5" bestFit="1" customWidth="1"/>
    <col min="26" max="28" width="7.42578125" style="5" bestFit="1" customWidth="1"/>
    <col min="29" max="29" width="5.85546875" style="5" bestFit="1" customWidth="1"/>
    <col min="30" max="30" width="7.42578125" style="5" bestFit="1" customWidth="1"/>
    <col min="31" max="31" width="5.42578125" style="5" bestFit="1" customWidth="1"/>
    <col min="32" max="32" width="4.5703125" style="5" bestFit="1" customWidth="1"/>
    <col min="33" max="33" width="9.7109375" style="5" customWidth="1"/>
    <col min="34" max="34" width="14.85546875" style="6" customWidth="1"/>
    <col min="35" max="35" width="12.5703125" style="5" customWidth="1"/>
    <col min="36" max="36" width="18.5703125" style="5" customWidth="1"/>
    <col min="37" max="37" width="16.42578125" style="5" customWidth="1"/>
    <col min="38" max="38" width="18.140625" style="57" customWidth="1"/>
    <col min="39" max="39" width="12.7109375" style="103" customWidth="1"/>
    <col min="40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1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902"/>
      <c r="AC1" s="902"/>
      <c r="AD1" s="902"/>
      <c r="AE1" s="902"/>
      <c r="AF1" s="902"/>
      <c r="AG1" s="902"/>
      <c r="AH1" s="902"/>
      <c r="AI1" s="902"/>
      <c r="AJ1" s="902"/>
      <c r="AK1" s="902"/>
      <c r="AL1" s="902"/>
      <c r="AM1" s="101"/>
      <c r="AN1" s="56"/>
      <c r="AR1" s="56"/>
      <c r="AT1" s="3"/>
      <c r="AW1" s="3"/>
      <c r="AX1" s="3"/>
    </row>
    <row r="2" spans="1:51" s="2" customFormat="1" ht="19.5" customHeight="1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4"/>
      <c r="Y2" s="904"/>
      <c r="Z2" s="904"/>
      <c r="AA2" s="904"/>
      <c r="AB2" s="904"/>
      <c r="AC2" s="904"/>
      <c r="AD2" s="904"/>
      <c r="AE2" s="904"/>
      <c r="AF2" s="904"/>
      <c r="AG2" s="904"/>
      <c r="AH2" s="904"/>
      <c r="AI2" s="905" t="str">
        <f>+NOMBRE!B7</f>
        <v>ENERO - OCTUBRE 2024</v>
      </c>
      <c r="AJ2" s="905"/>
      <c r="AK2" s="905"/>
      <c r="AL2" s="905"/>
      <c r="AM2" s="101"/>
      <c r="AN2" s="56"/>
      <c r="AR2" s="56"/>
      <c r="AT2" s="3"/>
      <c r="AW2" s="3"/>
      <c r="AX2" s="3"/>
    </row>
    <row r="3" spans="1:51" ht="3" customHeight="1" thickBot="1" x14ac:dyDescent="0.3"/>
    <row r="4" spans="1:51" ht="15" customHeight="1" x14ac:dyDescent="0.25">
      <c r="G4" s="58"/>
      <c r="H4" s="906" t="s">
        <v>513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07"/>
      <c r="V4" s="907"/>
      <c r="W4" s="907"/>
      <c r="X4" s="907"/>
      <c r="Y4" s="907"/>
      <c r="Z4" s="907"/>
      <c r="AA4" s="907"/>
      <c r="AB4" s="907"/>
      <c r="AC4" s="907"/>
      <c r="AD4" s="907"/>
      <c r="AE4" s="907"/>
      <c r="AF4" s="907"/>
      <c r="AG4" s="907"/>
      <c r="AH4" s="907"/>
      <c r="AI4" s="907"/>
      <c r="AJ4" s="907"/>
      <c r="AK4" s="907"/>
      <c r="AL4" s="908"/>
      <c r="AM4" s="5"/>
      <c r="AN4" s="5"/>
      <c r="AP4" s="6"/>
      <c r="AR4" s="5"/>
      <c r="AS4" s="87" t="s">
        <v>45</v>
      </c>
      <c r="AT4" s="88">
        <v>12</v>
      </c>
      <c r="AU4" s="6"/>
      <c r="AV4" s="6"/>
      <c r="AW4" s="5"/>
    </row>
    <row r="5" spans="1:51" ht="28.5" customHeight="1" thickBot="1" x14ac:dyDescent="0.3">
      <c r="G5" s="58"/>
      <c r="H5" s="909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0"/>
      <c r="AB5" s="910"/>
      <c r="AC5" s="910"/>
      <c r="AD5" s="910"/>
      <c r="AE5" s="910"/>
      <c r="AF5" s="910"/>
      <c r="AG5" s="910"/>
      <c r="AH5" s="910"/>
      <c r="AI5" s="910"/>
      <c r="AJ5" s="910"/>
      <c r="AK5" s="910"/>
      <c r="AL5" s="911"/>
      <c r="AM5" s="5"/>
      <c r="AN5" s="5"/>
      <c r="AP5" s="6"/>
      <c r="AR5" s="5"/>
      <c r="AS5" s="87" t="s">
        <v>46</v>
      </c>
      <c r="AT5" s="88">
        <f>meta3!AB2</f>
        <v>10</v>
      </c>
      <c r="AU5" s="6"/>
      <c r="AW5" s="5"/>
    </row>
    <row r="6" spans="1:51" ht="66" customHeight="1" thickBot="1" x14ac:dyDescent="0.3">
      <c r="G6" s="58"/>
      <c r="H6" s="933" t="s">
        <v>4</v>
      </c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40" t="s">
        <v>5</v>
      </c>
      <c r="V6" s="941"/>
      <c r="W6" s="941"/>
      <c r="X6" s="941"/>
      <c r="Y6" s="941"/>
      <c r="Z6" s="941"/>
      <c r="AA6" s="941"/>
      <c r="AB6" s="941"/>
      <c r="AC6" s="941"/>
      <c r="AD6" s="941"/>
      <c r="AE6" s="941"/>
      <c r="AF6" s="941"/>
      <c r="AG6" s="941"/>
      <c r="AH6" s="912" t="s">
        <v>6</v>
      </c>
      <c r="AI6" s="914">
        <f>+NOMBRE!$B$9</f>
        <v>2024</v>
      </c>
      <c r="AJ6" s="939"/>
      <c r="AK6" s="916" t="s">
        <v>7</v>
      </c>
      <c r="AL6" s="917"/>
      <c r="AM6" s="89" t="s">
        <v>47</v>
      </c>
      <c r="AN6" s="89" t="s">
        <v>48</v>
      </c>
      <c r="AO6" s="89" t="s">
        <v>49</v>
      </c>
      <c r="AP6" s="89" t="s">
        <v>50</v>
      </c>
      <c r="AQ6" s="89" t="s">
        <v>51</v>
      </c>
      <c r="AR6" s="89" t="s">
        <v>52</v>
      </c>
      <c r="AS6" s="89" t="s">
        <v>45</v>
      </c>
      <c r="AT6" s="89" t="s">
        <v>53</v>
      </c>
      <c r="AU6" s="89" t="s">
        <v>54</v>
      </c>
      <c r="AV6" s="89" t="s">
        <v>55</v>
      </c>
      <c r="AW6" s="89" t="s">
        <v>56</v>
      </c>
    </row>
    <row r="7" spans="1:51" ht="69.75" customHeight="1" thickBot="1" x14ac:dyDescent="0.3">
      <c r="G7" s="811" t="s">
        <v>431</v>
      </c>
      <c r="H7" s="919" t="s">
        <v>79</v>
      </c>
      <c r="I7" s="919"/>
      <c r="J7" s="919"/>
      <c r="K7" s="919"/>
      <c r="L7" s="919"/>
      <c r="M7" s="919"/>
      <c r="N7" s="919"/>
      <c r="O7" s="919"/>
      <c r="P7" s="919"/>
      <c r="Q7" s="919"/>
      <c r="R7" s="919"/>
      <c r="S7" s="919"/>
      <c r="T7" s="919"/>
      <c r="U7" s="918" t="s">
        <v>80</v>
      </c>
      <c r="V7" s="919"/>
      <c r="W7" s="919"/>
      <c r="X7" s="919"/>
      <c r="Y7" s="919"/>
      <c r="Z7" s="919"/>
      <c r="AA7" s="919"/>
      <c r="AB7" s="919"/>
      <c r="AC7" s="919"/>
      <c r="AD7" s="919"/>
      <c r="AE7" s="919"/>
      <c r="AF7" s="919"/>
      <c r="AG7" s="919"/>
      <c r="AH7" s="938"/>
      <c r="AI7" s="12" t="s">
        <v>11</v>
      </c>
      <c r="AJ7" s="12" t="s">
        <v>463</v>
      </c>
      <c r="AK7" s="14" t="s">
        <v>13</v>
      </c>
      <c r="AL7" s="14" t="s">
        <v>504</v>
      </c>
      <c r="AM7" s="90" t="s">
        <v>57</v>
      </c>
      <c r="AN7" s="90" t="s">
        <v>58</v>
      </c>
      <c r="AO7" s="90" t="s">
        <v>59</v>
      </c>
      <c r="AP7" s="91" t="s">
        <v>60</v>
      </c>
      <c r="AQ7" s="91" t="s">
        <v>61</v>
      </c>
      <c r="AR7" s="91" t="s">
        <v>62</v>
      </c>
      <c r="AS7" s="91" t="s">
        <v>63</v>
      </c>
      <c r="AT7" s="91" t="s">
        <v>64</v>
      </c>
      <c r="AU7" s="91" t="s">
        <v>65</v>
      </c>
      <c r="AV7" s="92" t="s">
        <v>66</v>
      </c>
      <c r="AW7" s="92" t="s">
        <v>67</v>
      </c>
      <c r="AX7" s="104"/>
      <c r="AY7"/>
    </row>
    <row r="8" spans="1:51" ht="69.75" customHeight="1" thickBot="1" x14ac:dyDescent="0.3">
      <c r="F8" s="62" t="s">
        <v>93</v>
      </c>
      <c r="G8" s="814" t="s">
        <v>431</v>
      </c>
      <c r="H8" s="812" t="s">
        <v>189</v>
      </c>
      <c r="I8" s="420" t="s">
        <v>190</v>
      </c>
      <c r="J8" s="420" t="s">
        <v>191</v>
      </c>
      <c r="K8" s="420" t="s">
        <v>192</v>
      </c>
      <c r="L8" s="420" t="s">
        <v>193</v>
      </c>
      <c r="M8" s="420" t="s">
        <v>194</v>
      </c>
      <c r="N8" s="420" t="s">
        <v>195</v>
      </c>
      <c r="O8" s="420" t="s">
        <v>196</v>
      </c>
      <c r="P8" s="420" t="s">
        <v>423</v>
      </c>
      <c r="Q8" s="420" t="s">
        <v>198</v>
      </c>
      <c r="R8" s="420" t="s">
        <v>199</v>
      </c>
      <c r="S8" s="420" t="s">
        <v>200</v>
      </c>
      <c r="T8" s="423" t="s">
        <v>201</v>
      </c>
      <c r="U8" s="420" t="s">
        <v>189</v>
      </c>
      <c r="V8" s="420" t="s">
        <v>190</v>
      </c>
      <c r="W8" s="420" t="s">
        <v>191</v>
      </c>
      <c r="X8" s="420" t="s">
        <v>192</v>
      </c>
      <c r="Y8" s="420" t="s">
        <v>193</v>
      </c>
      <c r="Z8" s="420" t="s">
        <v>194</v>
      </c>
      <c r="AA8" s="420" t="s">
        <v>195</v>
      </c>
      <c r="AB8" s="420" t="s">
        <v>196</v>
      </c>
      <c r="AC8" s="420" t="s">
        <v>423</v>
      </c>
      <c r="AD8" s="420" t="s">
        <v>198</v>
      </c>
      <c r="AE8" s="420" t="s">
        <v>199</v>
      </c>
      <c r="AF8" s="420" t="s">
        <v>200</v>
      </c>
      <c r="AG8" s="644" t="s">
        <v>201</v>
      </c>
      <c r="AH8" s="645"/>
      <c r="AI8" s="480" t="str">
        <f>indicadores!E17</f>
        <v xml:space="preserve">&gt;= 90,7% </v>
      </c>
      <c r="AJ8" s="480">
        <v>1</v>
      </c>
      <c r="AK8" s="439"/>
      <c r="AL8" s="485">
        <v>5.49</v>
      </c>
      <c r="AM8" s="489" t="s">
        <v>68</v>
      </c>
      <c r="AN8" s="489" t="s">
        <v>69</v>
      </c>
      <c r="AO8" s="489" t="s">
        <v>70</v>
      </c>
      <c r="AP8" s="489" t="s">
        <v>71</v>
      </c>
      <c r="AQ8" s="489" t="s">
        <v>72</v>
      </c>
      <c r="AR8" s="489" t="s">
        <v>73</v>
      </c>
      <c r="AS8" s="489" t="s">
        <v>74</v>
      </c>
      <c r="AT8" s="489" t="s">
        <v>75</v>
      </c>
      <c r="AU8" s="489" t="s">
        <v>76</v>
      </c>
      <c r="AV8" s="489" t="s">
        <v>77</v>
      </c>
      <c r="AW8" s="489" t="s">
        <v>78</v>
      </c>
      <c r="AX8" s="104"/>
      <c r="AY8"/>
    </row>
    <row r="9" spans="1:51" ht="15" customHeight="1" thickBot="1" x14ac:dyDescent="0.35">
      <c r="A9"/>
      <c r="B9"/>
      <c r="C9" s="64"/>
      <c r="D9" s="65"/>
      <c r="E9" s="66"/>
      <c r="F9" s="429">
        <v>107307</v>
      </c>
      <c r="G9" s="813" t="s">
        <v>432</v>
      </c>
      <c r="H9" s="68">
        <f>+REMB!CY6-REMB!DM6</f>
        <v>2404</v>
      </c>
      <c r="I9" s="68">
        <f>+REMB!CZ6-REMB!DN6</f>
        <v>2530</v>
      </c>
      <c r="J9" s="68">
        <f>+REMB!DA6-REMB!DO6</f>
        <v>2262</v>
      </c>
      <c r="K9" s="68">
        <f>+REMB!DB6-REMB!DP6</f>
        <v>2385</v>
      </c>
      <c r="L9" s="68">
        <f>+REMB!DC6-REMB!DQ6</f>
        <v>2457</v>
      </c>
      <c r="M9" s="68">
        <f>+REMB!DD6-REMB!DR6</f>
        <v>2498</v>
      </c>
      <c r="N9" s="68">
        <f>+REMB!DE6-REMB!DS6</f>
        <v>2680</v>
      </c>
      <c r="O9" s="68">
        <f>+REMB!DF6-REMB!DT6</f>
        <v>1841</v>
      </c>
      <c r="P9" s="68">
        <f>+REMB!DG6-REMB!DU6</f>
        <v>2076</v>
      </c>
      <c r="Q9" s="68">
        <f>+REMB!DH6-REMB!DV6</f>
        <v>4145</v>
      </c>
      <c r="R9" s="68">
        <f>+REMB!DI6-REMB!DW6</f>
        <v>0</v>
      </c>
      <c r="S9" s="68">
        <f>+REMB!DJ6-REMB!DX6</f>
        <v>0</v>
      </c>
      <c r="T9" s="470">
        <f>SUM(H9:P9)</f>
        <v>21133</v>
      </c>
      <c r="U9" s="68">
        <f>+REMB!CY6</f>
        <v>2499</v>
      </c>
      <c r="V9" s="68">
        <f>+REMB!CZ6</f>
        <v>2631</v>
      </c>
      <c r="W9" s="68">
        <f>+REMB!DA6</f>
        <v>2326</v>
      </c>
      <c r="X9" s="68">
        <f>+REMB!DB6</f>
        <v>2425</v>
      </c>
      <c r="Y9" s="68">
        <f>+REMB!DC6</f>
        <v>2554</v>
      </c>
      <c r="Z9" s="68">
        <f>+REMB!DD6</f>
        <v>2581</v>
      </c>
      <c r="AA9" s="68">
        <f>+REMB!DE6</f>
        <v>2778</v>
      </c>
      <c r="AB9" s="68">
        <f>+REMB!DF6</f>
        <v>1893</v>
      </c>
      <c r="AC9" s="68">
        <f>+REMB!DG6</f>
        <v>2117</v>
      </c>
      <c r="AD9" s="68">
        <f>+REMB!DH6</f>
        <v>4202</v>
      </c>
      <c r="AE9" s="68">
        <f>+REMB!DI6</f>
        <v>0</v>
      </c>
      <c r="AF9" s="68">
        <f>+REMB!DJ6</f>
        <v>0</v>
      </c>
      <c r="AG9" s="470">
        <f>SUM(U9:AF9)</f>
        <v>26006</v>
      </c>
      <c r="AH9" s="45">
        <f>IF(AG9=0,0,+T9/AG9)</f>
        <v>0.81262016457740527</v>
      </c>
      <c r="AI9" s="107">
        <v>0.90700000000000003</v>
      </c>
      <c r="AJ9" s="660">
        <f>+AI9*$AJ$8</f>
        <v>0.90700000000000003</v>
      </c>
      <c r="AK9" s="106">
        <f>IF(+AH9/AJ9&gt;=1,1,+AH9/AJ9)</f>
        <v>0.8959428495892009</v>
      </c>
      <c r="AL9" s="71">
        <f>+AK9*$AL$8/100</f>
        <v>4.918726244244713E-2</v>
      </c>
      <c r="AM9" s="144">
        <f>AI9</f>
        <v>0.90700000000000003</v>
      </c>
      <c r="AN9" s="94">
        <f>(AR9/AP9)</f>
        <v>0.81262016457740527</v>
      </c>
      <c r="AO9" s="591">
        <f>AN9/AM9</f>
        <v>0.8959428495892009</v>
      </c>
      <c r="AP9" s="496">
        <f>AG9</f>
        <v>26006</v>
      </c>
      <c r="AQ9" s="497">
        <f>AP9*AM9</f>
        <v>23587.441999999999</v>
      </c>
      <c r="AR9" s="496">
        <f>T9</f>
        <v>21133</v>
      </c>
      <c r="AS9" s="497">
        <f>AQ9/$AT$4</f>
        <v>1965.6201666666666</v>
      </c>
      <c r="AT9" s="497">
        <f>AS9*$AT$5</f>
        <v>19656.201666666668</v>
      </c>
      <c r="AU9" s="497">
        <f>T9</f>
        <v>21133</v>
      </c>
      <c r="AV9" s="494">
        <f>AU9/AT9</f>
        <v>1.0751314195070409</v>
      </c>
      <c r="AW9" s="427">
        <f>(AT9-AU9)*-1</f>
        <v>1476.7983333333323</v>
      </c>
    </row>
    <row r="10" spans="1:51" ht="15" customHeight="1" thickBot="1" x14ac:dyDescent="0.35">
      <c r="A10"/>
      <c r="B10"/>
      <c r="C10" s="64"/>
      <c r="D10" s="65"/>
      <c r="E10" s="66"/>
      <c r="F10" s="430">
        <v>107308</v>
      </c>
      <c r="G10" s="19" t="s">
        <v>433</v>
      </c>
      <c r="H10" s="73">
        <f>+REMB!CY7-REMB!DM7</f>
        <v>1303</v>
      </c>
      <c r="I10" s="73">
        <f>+REMB!CZ7-REMB!DN7</f>
        <v>1382</v>
      </c>
      <c r="J10" s="73">
        <f>+REMB!DA7-REMB!DO7</f>
        <v>1410</v>
      </c>
      <c r="K10" s="73">
        <f>+REMB!DB7-REMB!DP7</f>
        <v>1550</v>
      </c>
      <c r="L10" s="73">
        <f>+REMB!DC7-REMB!DQ7</f>
        <v>1816</v>
      </c>
      <c r="M10" s="73">
        <f>+REMB!DD7-REMB!DR7</f>
        <v>1604</v>
      </c>
      <c r="N10" s="73">
        <f>+REMB!DE7-REMB!DS7</f>
        <v>2468</v>
      </c>
      <c r="O10" s="73">
        <f>+REMB!DF7-REMB!DT7</f>
        <v>2339</v>
      </c>
      <c r="P10" s="73">
        <f>+REMB!DG7-REMB!DU7</f>
        <v>1789</v>
      </c>
      <c r="Q10" s="73">
        <f>+REMB!DH7-REMB!DV7</f>
        <v>1634</v>
      </c>
      <c r="R10" s="73">
        <f>+REMB!DI7-REMB!DW7</f>
        <v>0</v>
      </c>
      <c r="S10" s="73">
        <f>+REMB!DJ7-REMB!DX7</f>
        <v>0</v>
      </c>
      <c r="T10" s="470">
        <f t="shared" ref="T10:T15" si="0">SUM(H10:P10)</f>
        <v>15661</v>
      </c>
      <c r="U10" s="73">
        <f>+REMB!CY7</f>
        <v>1364</v>
      </c>
      <c r="V10" s="73">
        <f>+REMB!CZ7</f>
        <v>1424</v>
      </c>
      <c r="W10" s="73">
        <f>+REMB!DA7</f>
        <v>1484</v>
      </c>
      <c r="X10" s="73">
        <f>+REMB!DB7</f>
        <v>1650</v>
      </c>
      <c r="Y10" s="73">
        <f>+REMB!DC7</f>
        <v>1943</v>
      </c>
      <c r="Z10" s="73">
        <f>+REMB!DD7</f>
        <v>1683</v>
      </c>
      <c r="AA10" s="73">
        <f>+REMB!DE7</f>
        <v>2587</v>
      </c>
      <c r="AB10" s="73">
        <f>+REMB!DF7</f>
        <v>2425</v>
      </c>
      <c r="AC10" s="73">
        <f>+REMB!DG7</f>
        <v>1854</v>
      </c>
      <c r="AD10" s="73">
        <f>+REMB!DH7</f>
        <v>1698</v>
      </c>
      <c r="AE10" s="73">
        <f>+REMB!DI7</f>
        <v>0</v>
      </c>
      <c r="AF10" s="73">
        <f>+REMB!DJ7</f>
        <v>0</v>
      </c>
      <c r="AG10" s="470">
        <f t="shared" ref="AG10:AG16" si="1">SUM(U10:AF10)</f>
        <v>18112</v>
      </c>
      <c r="AH10" s="40">
        <f t="shared" ref="AH10:AH16" si="2">IF(AG10=0,0,+T10/AG10)</f>
        <v>0.8646753533568905</v>
      </c>
      <c r="AI10" s="107">
        <v>0.90700000000000003</v>
      </c>
      <c r="AJ10" s="661">
        <f t="shared" ref="AJ10:AJ16" si="3">+AI10*$AJ$8</f>
        <v>0.90700000000000003</v>
      </c>
      <c r="AK10" s="108">
        <f t="shared" ref="AK10:AK16" si="4">IF(+AH10/AJ10&gt;=1,1,+AH10/AJ10)</f>
        <v>0.95333556048168744</v>
      </c>
      <c r="AL10" s="71">
        <f t="shared" ref="AL10:AL16" si="5">+AK10*$AL$8/100</f>
        <v>5.2338122270444647E-2</v>
      </c>
      <c r="AM10" s="144">
        <f t="shared" ref="AM10:AM16" si="6">AI10</f>
        <v>0.90700000000000003</v>
      </c>
      <c r="AN10" s="94">
        <f t="shared" ref="AN10:AN16" si="7">(AR10/AP10)</f>
        <v>0.8646753533568905</v>
      </c>
      <c r="AO10" s="591">
        <f t="shared" ref="AO10:AO16" si="8">AN10/AM10</f>
        <v>0.95333556048168744</v>
      </c>
      <c r="AP10" s="496">
        <f t="shared" ref="AP10:AP16" si="9">AG10</f>
        <v>18112</v>
      </c>
      <c r="AQ10" s="497">
        <f t="shared" ref="AQ10:AQ16" si="10">AP10*AM10</f>
        <v>16427.583999999999</v>
      </c>
      <c r="AR10" s="496">
        <f t="shared" ref="AR10:AR16" si="11">T10</f>
        <v>15661</v>
      </c>
      <c r="AS10" s="497">
        <f t="shared" ref="AS10:AS15" si="12">AQ10/$AT$4</f>
        <v>1368.9653333333333</v>
      </c>
      <c r="AT10" s="497">
        <f t="shared" ref="AT10:AT16" si="13">AS10*$AT$5</f>
        <v>13689.653333333334</v>
      </c>
      <c r="AU10" s="497">
        <f t="shared" ref="AU10:AU16" si="14">T10</f>
        <v>15661</v>
      </c>
      <c r="AV10" s="494">
        <f t="shared" ref="AV10:AV16" si="15">AU10/AT10</f>
        <v>1.1440026725780248</v>
      </c>
      <c r="AW10" s="427">
        <f t="shared" ref="AW10:AW16" si="16">(AT10-AU10)*-1</f>
        <v>1971.3466666666664</v>
      </c>
    </row>
    <row r="11" spans="1:51" ht="15" customHeight="1" thickBot="1" x14ac:dyDescent="0.35">
      <c r="A11"/>
      <c r="B11"/>
      <c r="C11" s="64"/>
      <c r="D11" s="65"/>
      <c r="E11" s="66"/>
      <c r="F11" s="430">
        <v>107353</v>
      </c>
      <c r="G11" s="19" t="s">
        <v>434</v>
      </c>
      <c r="H11" s="73">
        <f>+REMB!CY8-REMB!DM8</f>
        <v>924</v>
      </c>
      <c r="I11" s="73">
        <f>+REMB!CZ8-REMB!DN8</f>
        <v>3006</v>
      </c>
      <c r="J11" s="73">
        <f>+REMB!DA8-REMB!DO8</f>
        <v>881</v>
      </c>
      <c r="K11" s="73">
        <f>+REMB!DB8-REMB!DP8</f>
        <v>1446</v>
      </c>
      <c r="L11" s="73">
        <f>+REMB!DC8-REMB!DQ8</f>
        <v>1407</v>
      </c>
      <c r="M11" s="73">
        <f>+REMB!DD8-REMB!DR8</f>
        <v>1565</v>
      </c>
      <c r="N11" s="73">
        <f>+REMB!DE8-REMB!DS8</f>
        <v>1481</v>
      </c>
      <c r="O11" s="73">
        <f>+REMB!DF8-REMB!DT8</f>
        <v>1680</v>
      </c>
      <c r="P11" s="73">
        <f>+REMB!DG8-REMB!DU8</f>
        <v>1204</v>
      </c>
      <c r="Q11" s="73">
        <f>+REMB!DH8-REMB!DV8</f>
        <v>1722</v>
      </c>
      <c r="R11" s="73">
        <f>+REMB!DI8-REMB!DW8</f>
        <v>0</v>
      </c>
      <c r="S11" s="73">
        <f>+REMB!DJ8-REMB!DX8</f>
        <v>0</v>
      </c>
      <c r="T11" s="470">
        <f t="shared" si="0"/>
        <v>13594</v>
      </c>
      <c r="U11" s="73">
        <f>+REMB!CY8</f>
        <v>1054</v>
      </c>
      <c r="V11" s="73">
        <f>+REMB!CZ8</f>
        <v>3126</v>
      </c>
      <c r="W11" s="73">
        <f>+REMB!DA8</f>
        <v>1098</v>
      </c>
      <c r="X11" s="73">
        <f>+REMB!DB8</f>
        <v>1555</v>
      </c>
      <c r="Y11" s="73">
        <f>+REMB!DC8</f>
        <v>1529</v>
      </c>
      <c r="Z11" s="73">
        <f>+REMB!DD8</f>
        <v>1982</v>
      </c>
      <c r="AA11" s="73">
        <f>+REMB!DE8</f>
        <v>1952</v>
      </c>
      <c r="AB11" s="73">
        <f>+REMB!DF8</f>
        <v>1693</v>
      </c>
      <c r="AC11" s="73">
        <f>+REMB!DG8</f>
        <v>1212</v>
      </c>
      <c r="AD11" s="73">
        <f>+REMB!DH8</f>
        <v>1738</v>
      </c>
      <c r="AE11" s="73">
        <f>+REMB!DI8</f>
        <v>0</v>
      </c>
      <c r="AF11" s="73">
        <f>+REMB!DJ8</f>
        <v>0</v>
      </c>
      <c r="AG11" s="470">
        <f t="shared" si="1"/>
        <v>16939</v>
      </c>
      <c r="AH11" s="40">
        <f t="shared" si="2"/>
        <v>0.80252671350138738</v>
      </c>
      <c r="AI11" s="107">
        <v>0.90700000000000003</v>
      </c>
      <c r="AJ11" s="661">
        <f t="shared" si="3"/>
        <v>0.90700000000000003</v>
      </c>
      <c r="AK11" s="108">
        <f t="shared" si="4"/>
        <v>0.88481445810516801</v>
      </c>
      <c r="AL11" s="71">
        <f t="shared" si="5"/>
        <v>4.8576313749973725E-2</v>
      </c>
      <c r="AM11" s="144">
        <f t="shared" si="6"/>
        <v>0.90700000000000003</v>
      </c>
      <c r="AN11" s="94">
        <f t="shared" si="7"/>
        <v>0.80252671350138738</v>
      </c>
      <c r="AO11" s="591">
        <f t="shared" si="8"/>
        <v>0.88481445810516801</v>
      </c>
      <c r="AP11" s="496">
        <f t="shared" si="9"/>
        <v>16939</v>
      </c>
      <c r="AQ11" s="497">
        <f t="shared" si="10"/>
        <v>15363.673000000001</v>
      </c>
      <c r="AR11" s="496">
        <f t="shared" si="11"/>
        <v>13594</v>
      </c>
      <c r="AS11" s="497">
        <f t="shared" si="12"/>
        <v>1280.3060833333334</v>
      </c>
      <c r="AT11" s="497">
        <f t="shared" si="13"/>
        <v>12803.060833333333</v>
      </c>
      <c r="AU11" s="497">
        <f t="shared" si="14"/>
        <v>13594</v>
      </c>
      <c r="AV11" s="494">
        <f t="shared" si="15"/>
        <v>1.0617773497262015</v>
      </c>
      <c r="AW11" s="427">
        <f t="shared" si="16"/>
        <v>790.93916666666701</v>
      </c>
    </row>
    <row r="12" spans="1:51" ht="15" customHeight="1" thickBot="1" x14ac:dyDescent="0.35">
      <c r="A12"/>
      <c r="B12"/>
      <c r="C12" s="64"/>
      <c r="D12" s="65"/>
      <c r="E12" s="66"/>
      <c r="F12" s="430">
        <v>107356</v>
      </c>
      <c r="G12" s="19" t="s">
        <v>435</v>
      </c>
      <c r="H12" s="73">
        <f>+REMB!CY9-REMB!DM9</f>
        <v>2299</v>
      </c>
      <c r="I12" s="73">
        <f>+REMB!CZ9-REMB!DN9</f>
        <v>605</v>
      </c>
      <c r="J12" s="73">
        <f>+REMB!DA9-REMB!DO9</f>
        <v>1235</v>
      </c>
      <c r="K12" s="73">
        <f>+REMB!DB9-REMB!DP9</f>
        <v>1319</v>
      </c>
      <c r="L12" s="73">
        <f>+REMB!DC9-REMB!DQ9</f>
        <v>1499</v>
      </c>
      <c r="M12" s="73">
        <f>+REMB!DD9-REMB!DR9</f>
        <v>1431</v>
      </c>
      <c r="N12" s="73">
        <f>+REMB!DE9-REMB!DS9</f>
        <v>1687</v>
      </c>
      <c r="O12" s="73">
        <f>+REMB!DF9-REMB!DT9</f>
        <v>1476</v>
      </c>
      <c r="P12" s="73">
        <f>+REMB!DG9-REMB!DU9</f>
        <v>1864</v>
      </c>
      <c r="Q12" s="73">
        <f>+REMB!DH9-REMB!DV9</f>
        <v>1456</v>
      </c>
      <c r="R12" s="73">
        <f>+REMB!DI9-REMB!DW9</f>
        <v>0</v>
      </c>
      <c r="S12" s="73">
        <f>+REMB!DJ9-REMB!DX9</f>
        <v>0</v>
      </c>
      <c r="T12" s="470">
        <f t="shared" si="0"/>
        <v>13415</v>
      </c>
      <c r="U12" s="73">
        <f>+REMB!CY9</f>
        <v>2478</v>
      </c>
      <c r="V12" s="73">
        <f>+REMB!CZ9</f>
        <v>769</v>
      </c>
      <c r="W12" s="73">
        <f>+REMB!DA9</f>
        <v>1356</v>
      </c>
      <c r="X12" s="73">
        <f>+REMB!DB9</f>
        <v>1454</v>
      </c>
      <c r="Y12" s="73">
        <f>+REMB!DC9</f>
        <v>1606</v>
      </c>
      <c r="Z12" s="73">
        <f>+REMB!DD9</f>
        <v>1556</v>
      </c>
      <c r="AA12" s="73">
        <f>+REMB!DE9</f>
        <v>1716</v>
      </c>
      <c r="AB12" s="73">
        <f>+REMB!DF9</f>
        <v>1610</v>
      </c>
      <c r="AC12" s="73">
        <f>+REMB!DG9</f>
        <v>1939</v>
      </c>
      <c r="AD12" s="73">
        <f>+REMB!DH9</f>
        <v>1618</v>
      </c>
      <c r="AE12" s="73">
        <f>+REMB!DI9</f>
        <v>0</v>
      </c>
      <c r="AF12" s="73">
        <f>+REMB!DJ9</f>
        <v>0</v>
      </c>
      <c r="AG12" s="470">
        <f t="shared" si="1"/>
        <v>16102</v>
      </c>
      <c r="AH12" s="40">
        <f t="shared" si="2"/>
        <v>0.83312631971183704</v>
      </c>
      <c r="AI12" s="107">
        <v>0.90700000000000003</v>
      </c>
      <c r="AJ12" s="661">
        <f t="shared" si="3"/>
        <v>0.90700000000000003</v>
      </c>
      <c r="AK12" s="108">
        <f t="shared" si="4"/>
        <v>0.91855162040996363</v>
      </c>
      <c r="AL12" s="71">
        <f t="shared" si="5"/>
        <v>5.042848396050701E-2</v>
      </c>
      <c r="AM12" s="144">
        <f t="shared" si="6"/>
        <v>0.90700000000000003</v>
      </c>
      <c r="AN12" s="94">
        <f t="shared" si="7"/>
        <v>0.83312631971183704</v>
      </c>
      <c r="AO12" s="591">
        <f t="shared" si="8"/>
        <v>0.91855162040996363</v>
      </c>
      <c r="AP12" s="496">
        <f t="shared" si="9"/>
        <v>16102</v>
      </c>
      <c r="AQ12" s="497">
        <f t="shared" si="10"/>
        <v>14604.514000000001</v>
      </c>
      <c r="AR12" s="496">
        <f t="shared" si="11"/>
        <v>13415</v>
      </c>
      <c r="AS12" s="497">
        <f t="shared" si="12"/>
        <v>1217.0428333333334</v>
      </c>
      <c r="AT12" s="497">
        <f t="shared" si="13"/>
        <v>12170.428333333333</v>
      </c>
      <c r="AU12" s="497">
        <f t="shared" si="14"/>
        <v>13415</v>
      </c>
      <c r="AV12" s="494">
        <f t="shared" si="15"/>
        <v>1.1022619444919564</v>
      </c>
      <c r="AW12" s="427">
        <f t="shared" si="16"/>
        <v>1244.5716666666667</v>
      </c>
    </row>
    <row r="13" spans="1:51" ht="15" customHeight="1" thickBot="1" x14ac:dyDescent="0.35">
      <c r="A13"/>
      <c r="B13"/>
      <c r="C13" s="64"/>
      <c r="D13" s="65"/>
      <c r="E13" s="66"/>
      <c r="F13" s="430">
        <v>107357</v>
      </c>
      <c r="G13" s="19" t="s">
        <v>436</v>
      </c>
      <c r="H13" s="73">
        <f>+REMB!CY10-REMB!DM10</f>
        <v>910</v>
      </c>
      <c r="I13" s="73">
        <f>+REMB!CZ10-REMB!DN10</f>
        <v>1509</v>
      </c>
      <c r="J13" s="73">
        <f>+REMB!DA10-REMB!DO10</f>
        <v>1766</v>
      </c>
      <c r="K13" s="73">
        <f>+REMB!DB10-REMB!DP10</f>
        <v>2152</v>
      </c>
      <c r="L13" s="73">
        <f>+REMB!DC10-REMB!DQ10</f>
        <v>1600</v>
      </c>
      <c r="M13" s="73">
        <f>+REMB!DD10-REMB!DR10</f>
        <v>1426</v>
      </c>
      <c r="N13" s="73">
        <f>+REMB!DE10-REMB!DS10</f>
        <v>1480</v>
      </c>
      <c r="O13" s="73">
        <f>+REMB!DF10-REMB!DT10</f>
        <v>1626</v>
      </c>
      <c r="P13" s="73">
        <f>+REMB!DG10-REMB!DU10</f>
        <v>1307</v>
      </c>
      <c r="Q13" s="73">
        <f>+REMB!DH10-REMB!DV10</f>
        <v>1412</v>
      </c>
      <c r="R13" s="73">
        <f>+REMB!DI10-REMB!DW10</f>
        <v>0</v>
      </c>
      <c r="S13" s="73">
        <f>+REMB!DJ10-REMB!DX10</f>
        <v>0</v>
      </c>
      <c r="T13" s="470">
        <f t="shared" si="0"/>
        <v>13776</v>
      </c>
      <c r="U13" s="73">
        <f>+REMB!CY10</f>
        <v>1266</v>
      </c>
      <c r="V13" s="73">
        <f>+REMB!CZ10</f>
        <v>1906</v>
      </c>
      <c r="W13" s="73">
        <f>+REMB!DA10</f>
        <v>2171</v>
      </c>
      <c r="X13" s="73">
        <f>+REMB!DB10</f>
        <v>2575</v>
      </c>
      <c r="Y13" s="73">
        <f>+REMB!DC10</f>
        <v>1888</v>
      </c>
      <c r="Z13" s="73">
        <f>+REMB!DD10</f>
        <v>1820</v>
      </c>
      <c r="AA13" s="73">
        <f>+REMB!DE10</f>
        <v>1820</v>
      </c>
      <c r="AB13" s="73">
        <f>+REMB!DF10</f>
        <v>1864</v>
      </c>
      <c r="AC13" s="73">
        <f>+REMB!DG10</f>
        <v>1550</v>
      </c>
      <c r="AD13" s="73">
        <f>+REMB!DH10</f>
        <v>1667</v>
      </c>
      <c r="AE13" s="73">
        <f>+REMB!DI10</f>
        <v>0</v>
      </c>
      <c r="AF13" s="73">
        <f>+REMB!DJ10</f>
        <v>0</v>
      </c>
      <c r="AG13" s="470">
        <f t="shared" si="1"/>
        <v>18527</v>
      </c>
      <c r="AH13" s="40">
        <f t="shared" si="2"/>
        <v>0.74356344794084306</v>
      </c>
      <c r="AI13" s="107">
        <v>0.90700000000000003</v>
      </c>
      <c r="AJ13" s="661">
        <f t="shared" si="3"/>
        <v>0.90700000000000003</v>
      </c>
      <c r="AK13" s="108">
        <f t="shared" si="4"/>
        <v>0.81980534502849289</v>
      </c>
      <c r="AL13" s="71">
        <f t="shared" si="5"/>
        <v>4.500731344206426E-2</v>
      </c>
      <c r="AM13" s="144">
        <f t="shared" si="6"/>
        <v>0.90700000000000003</v>
      </c>
      <c r="AN13" s="94">
        <f t="shared" si="7"/>
        <v>0.74356344794084306</v>
      </c>
      <c r="AO13" s="591">
        <f t="shared" si="8"/>
        <v>0.81980534502849289</v>
      </c>
      <c r="AP13" s="496">
        <f t="shared" si="9"/>
        <v>18527</v>
      </c>
      <c r="AQ13" s="497">
        <f t="shared" si="10"/>
        <v>16803.989000000001</v>
      </c>
      <c r="AR13" s="496">
        <f t="shared" si="11"/>
        <v>13776</v>
      </c>
      <c r="AS13" s="497">
        <f t="shared" si="12"/>
        <v>1400.3324166666669</v>
      </c>
      <c r="AT13" s="497">
        <f t="shared" si="13"/>
        <v>14003.324166666669</v>
      </c>
      <c r="AU13" s="497">
        <f t="shared" si="14"/>
        <v>13776</v>
      </c>
      <c r="AV13" s="494">
        <f t="shared" si="15"/>
        <v>0.98376641403419141</v>
      </c>
      <c r="AW13" s="427">
        <f t="shared" si="16"/>
        <v>-227.32416666666904</v>
      </c>
    </row>
    <row r="14" spans="1:51" ht="15" customHeight="1" thickBot="1" x14ac:dyDescent="0.35">
      <c r="A14"/>
      <c r="B14"/>
      <c r="C14" s="64"/>
      <c r="D14" s="65"/>
      <c r="E14" s="66"/>
      <c r="F14" s="430">
        <v>107400</v>
      </c>
      <c r="G14" s="19" t="s">
        <v>437</v>
      </c>
      <c r="H14" s="73">
        <f>+REMB!CY11-REMB!DM11</f>
        <v>65</v>
      </c>
      <c r="I14" s="73">
        <f>+REMB!CZ11-REMB!DN11</f>
        <v>18</v>
      </c>
      <c r="J14" s="73">
        <f>+REMB!DA11-REMB!DO11</f>
        <v>29</v>
      </c>
      <c r="K14" s="73">
        <f>+REMB!DB11-REMB!DP11</f>
        <v>59</v>
      </c>
      <c r="L14" s="73">
        <f>+REMB!DC11-REMB!DQ11</f>
        <v>50</v>
      </c>
      <c r="M14" s="73">
        <f>+REMB!DD11-REMB!DR11</f>
        <v>16</v>
      </c>
      <c r="N14" s="73">
        <f>+REMB!DE11-REMB!DS11</f>
        <v>38</v>
      </c>
      <c r="O14" s="73">
        <f>+REMB!DF11-REMB!DT11</f>
        <v>61</v>
      </c>
      <c r="P14" s="73">
        <f>+REMB!DG11-REMB!DU11</f>
        <v>21</v>
      </c>
      <c r="Q14" s="73">
        <f>+REMB!DH11-REMB!DV11</f>
        <v>49</v>
      </c>
      <c r="R14" s="73">
        <f>+REMB!DI11-REMB!DW11</f>
        <v>0</v>
      </c>
      <c r="S14" s="73">
        <f>+REMB!DJ11-REMB!DX11</f>
        <v>0</v>
      </c>
      <c r="T14" s="470">
        <f t="shared" si="0"/>
        <v>357</v>
      </c>
      <c r="U14" s="73">
        <f>+REMB!CY11</f>
        <v>73</v>
      </c>
      <c r="V14" s="73">
        <f>+REMB!CZ11</f>
        <v>26</v>
      </c>
      <c r="W14" s="73">
        <f>+REMB!DA11</f>
        <v>37</v>
      </c>
      <c r="X14" s="73">
        <f>+REMB!DB11</f>
        <v>67</v>
      </c>
      <c r="Y14" s="73">
        <f>+REMB!DC11</f>
        <v>58</v>
      </c>
      <c r="Z14" s="73">
        <f>+REMB!DD11</f>
        <v>24</v>
      </c>
      <c r="AA14" s="73">
        <f>+REMB!DE11</f>
        <v>46</v>
      </c>
      <c r="AB14" s="73">
        <f>+REMB!DF11</f>
        <v>69</v>
      </c>
      <c r="AC14" s="73">
        <f>+REMB!DG11</f>
        <v>29</v>
      </c>
      <c r="AD14" s="73">
        <f>+REMB!DH11</f>
        <v>49</v>
      </c>
      <c r="AE14" s="73">
        <f>+REMB!DI11</f>
        <v>0</v>
      </c>
      <c r="AF14" s="73">
        <f>+REMB!DJ11</f>
        <v>0</v>
      </c>
      <c r="AG14" s="470">
        <f t="shared" si="1"/>
        <v>478</v>
      </c>
      <c r="AH14" s="40">
        <f t="shared" si="2"/>
        <v>0.7468619246861925</v>
      </c>
      <c r="AI14" s="107">
        <v>0.90700000000000003</v>
      </c>
      <c r="AJ14" s="661">
        <f t="shared" si="3"/>
        <v>0.90700000000000003</v>
      </c>
      <c r="AK14" s="108">
        <f t="shared" si="4"/>
        <v>0.82344203383262682</v>
      </c>
      <c r="AL14" s="71">
        <f t="shared" si="5"/>
        <v>4.5206967657411209E-2</v>
      </c>
      <c r="AM14" s="144">
        <f t="shared" si="6"/>
        <v>0.90700000000000003</v>
      </c>
      <c r="AN14" s="94">
        <f t="shared" si="7"/>
        <v>0.7468619246861925</v>
      </c>
      <c r="AO14" s="591">
        <f t="shared" si="8"/>
        <v>0.82344203383262682</v>
      </c>
      <c r="AP14" s="496">
        <f t="shared" si="9"/>
        <v>478</v>
      </c>
      <c r="AQ14" s="497">
        <f t="shared" si="10"/>
        <v>433.54599999999999</v>
      </c>
      <c r="AR14" s="496">
        <f t="shared" si="11"/>
        <v>357</v>
      </c>
      <c r="AS14" s="497">
        <f t="shared" si="12"/>
        <v>36.128833333333333</v>
      </c>
      <c r="AT14" s="497">
        <f t="shared" si="13"/>
        <v>361.2883333333333</v>
      </c>
      <c r="AU14" s="497">
        <f t="shared" si="14"/>
        <v>357</v>
      </c>
      <c r="AV14" s="494">
        <f t="shared" si="15"/>
        <v>0.98813044059915223</v>
      </c>
      <c r="AW14" s="427">
        <f t="shared" si="16"/>
        <v>-4.2883333333332985</v>
      </c>
    </row>
    <row r="15" spans="1:51" ht="15" customHeight="1" thickBot="1" x14ac:dyDescent="0.35">
      <c r="A15"/>
      <c r="B15"/>
      <c r="C15" s="64"/>
      <c r="D15" s="65"/>
      <c r="E15" s="66"/>
      <c r="F15" s="431">
        <v>107756</v>
      </c>
      <c r="G15" s="28" t="s">
        <v>438</v>
      </c>
      <c r="H15" s="113">
        <f>+REMB!CY12-REMB!DM12</f>
        <v>493</v>
      </c>
      <c r="I15" s="113">
        <f>+REMB!CZ12-REMB!DN12</f>
        <v>402</v>
      </c>
      <c r="J15" s="113">
        <f>+REMB!DA12-REMB!DO12</f>
        <v>492</v>
      </c>
      <c r="K15" s="113">
        <f>+REMB!DB12-REMB!DP12</f>
        <v>612</v>
      </c>
      <c r="L15" s="113">
        <f>+REMB!DC12-REMB!DQ12</f>
        <v>670</v>
      </c>
      <c r="M15" s="113">
        <f>+REMB!DD12-REMB!DR12</f>
        <v>513</v>
      </c>
      <c r="N15" s="113">
        <f>+REMB!DE12-REMB!DS12</f>
        <v>540</v>
      </c>
      <c r="O15" s="113">
        <f>+REMB!DF12-REMB!DT12</f>
        <v>343</v>
      </c>
      <c r="P15" s="113">
        <f>+REMB!DG12-REMB!DU12</f>
        <v>482</v>
      </c>
      <c r="Q15" s="113">
        <f>+REMB!DH12-REMB!DV12</f>
        <v>625</v>
      </c>
      <c r="R15" s="113">
        <f>+REMB!DI12-REMB!DW12</f>
        <v>0</v>
      </c>
      <c r="S15" s="113">
        <f>+REMB!DJ12-REMB!DX12</f>
        <v>0</v>
      </c>
      <c r="T15" s="588">
        <f t="shared" si="0"/>
        <v>4547</v>
      </c>
      <c r="U15" s="113">
        <f>+REMB!CY12</f>
        <v>597</v>
      </c>
      <c r="V15" s="113">
        <f>+REMB!CZ12</f>
        <v>449</v>
      </c>
      <c r="W15" s="113">
        <f>+REMB!DA12</f>
        <v>550</v>
      </c>
      <c r="X15" s="113">
        <f>+REMB!DB12</f>
        <v>661</v>
      </c>
      <c r="Y15" s="113">
        <f>+REMB!DC12</f>
        <v>745</v>
      </c>
      <c r="Z15" s="113">
        <f>+REMB!DD12</f>
        <v>574</v>
      </c>
      <c r="AA15" s="113">
        <f>+REMB!DE12</f>
        <v>650</v>
      </c>
      <c r="AB15" s="113">
        <f>+REMB!DF12</f>
        <v>501</v>
      </c>
      <c r="AC15" s="113">
        <f>+REMB!DG12</f>
        <v>540</v>
      </c>
      <c r="AD15" s="113">
        <f>+REMB!DH12</f>
        <v>707</v>
      </c>
      <c r="AE15" s="113">
        <f>+REMB!DI12</f>
        <v>0</v>
      </c>
      <c r="AF15" s="113">
        <f>+REMB!DJ12</f>
        <v>0</v>
      </c>
      <c r="AG15" s="588">
        <f t="shared" si="1"/>
        <v>5974</v>
      </c>
      <c r="AH15" s="54">
        <f t="shared" si="2"/>
        <v>0.76113157013726152</v>
      </c>
      <c r="AI15" s="107">
        <v>0.90700000000000003</v>
      </c>
      <c r="AJ15" s="662">
        <f t="shared" si="3"/>
        <v>0.90700000000000003</v>
      </c>
      <c r="AK15" s="589">
        <f t="shared" si="4"/>
        <v>0.83917482925828168</v>
      </c>
      <c r="AL15" s="71">
        <f t="shared" si="5"/>
        <v>4.6070698126279667E-2</v>
      </c>
      <c r="AM15" s="539">
        <f t="shared" si="6"/>
        <v>0.90700000000000003</v>
      </c>
      <c r="AN15" s="554">
        <f t="shared" si="7"/>
        <v>0.76113157013726152</v>
      </c>
      <c r="AO15" s="592">
        <f t="shared" si="8"/>
        <v>0.83917482925828168</v>
      </c>
      <c r="AP15" s="496">
        <f t="shared" si="9"/>
        <v>5974</v>
      </c>
      <c r="AQ15" s="497">
        <f t="shared" si="10"/>
        <v>5418.4180000000006</v>
      </c>
      <c r="AR15" s="496">
        <f t="shared" si="11"/>
        <v>4547</v>
      </c>
      <c r="AS15" s="497">
        <f t="shared" si="12"/>
        <v>451.53483333333338</v>
      </c>
      <c r="AT15" s="497">
        <f t="shared" si="13"/>
        <v>4515.3483333333334</v>
      </c>
      <c r="AU15" s="497">
        <f t="shared" si="14"/>
        <v>4547</v>
      </c>
      <c r="AV15" s="571">
        <f t="shared" si="15"/>
        <v>1.0070097951099379</v>
      </c>
      <c r="AW15" s="427">
        <f t="shared" si="16"/>
        <v>31.651666666666642</v>
      </c>
    </row>
    <row r="16" spans="1:51" ht="15" customHeight="1" thickBot="1" x14ac:dyDescent="0.35">
      <c r="A16"/>
      <c r="B16"/>
      <c r="C16" s="64"/>
      <c r="D16" s="65"/>
      <c r="E16" s="66"/>
      <c r="F16" s="105"/>
      <c r="G16" s="538" t="s">
        <v>15</v>
      </c>
      <c r="H16" s="84">
        <f>SUM(H9:H15)</f>
        <v>8398</v>
      </c>
      <c r="I16" s="84">
        <f t="shared" ref="I16:S16" si="17">SUM(I9:I15)</f>
        <v>9452</v>
      </c>
      <c r="J16" s="84">
        <f t="shared" si="17"/>
        <v>8075</v>
      </c>
      <c r="K16" s="84">
        <f t="shared" si="17"/>
        <v>9523</v>
      </c>
      <c r="L16" s="84">
        <f t="shared" si="17"/>
        <v>9499</v>
      </c>
      <c r="M16" s="84">
        <f t="shared" si="17"/>
        <v>9053</v>
      </c>
      <c r="N16" s="84">
        <f t="shared" si="17"/>
        <v>10374</v>
      </c>
      <c r="O16" s="84">
        <f t="shared" si="17"/>
        <v>9366</v>
      </c>
      <c r="P16" s="84">
        <f t="shared" si="17"/>
        <v>8743</v>
      </c>
      <c r="Q16" s="84">
        <f t="shared" si="17"/>
        <v>11043</v>
      </c>
      <c r="R16" s="84">
        <f t="shared" si="17"/>
        <v>0</v>
      </c>
      <c r="S16" s="84">
        <f t="shared" si="17"/>
        <v>0</v>
      </c>
      <c r="T16" s="590">
        <f>SUM(T9:T15)</f>
        <v>82483</v>
      </c>
      <c r="U16" s="84">
        <f>SUM(U9:U15)</f>
        <v>9331</v>
      </c>
      <c r="V16" s="84">
        <f t="shared" ref="V16:AF16" si="18">SUM(V9:V15)</f>
        <v>10331</v>
      </c>
      <c r="W16" s="84">
        <f t="shared" si="18"/>
        <v>9022</v>
      </c>
      <c r="X16" s="84">
        <f t="shared" si="18"/>
        <v>10387</v>
      </c>
      <c r="Y16" s="84">
        <f t="shared" si="18"/>
        <v>10323</v>
      </c>
      <c r="Z16" s="84">
        <f t="shared" si="18"/>
        <v>10220</v>
      </c>
      <c r="AA16" s="84">
        <f t="shared" si="18"/>
        <v>11549</v>
      </c>
      <c r="AB16" s="84">
        <f t="shared" si="18"/>
        <v>10055</v>
      </c>
      <c r="AC16" s="84">
        <f t="shared" si="18"/>
        <v>9241</v>
      </c>
      <c r="AD16" s="84">
        <f t="shared" si="18"/>
        <v>11679</v>
      </c>
      <c r="AE16" s="84">
        <f t="shared" si="18"/>
        <v>0</v>
      </c>
      <c r="AF16" s="84">
        <f t="shared" si="18"/>
        <v>0</v>
      </c>
      <c r="AG16" s="590">
        <f t="shared" si="1"/>
        <v>102138</v>
      </c>
      <c r="AH16" s="475">
        <f t="shared" si="2"/>
        <v>0.80756427578374357</v>
      </c>
      <c r="AI16" s="537">
        <v>0.90700000000000003</v>
      </c>
      <c r="AJ16" s="537">
        <f t="shared" si="3"/>
        <v>0.90700000000000003</v>
      </c>
      <c r="AK16" s="676">
        <f t="shared" si="4"/>
        <v>0.89036855102948576</v>
      </c>
      <c r="AL16" s="508">
        <f t="shared" si="5"/>
        <v>4.888123345151877E-2</v>
      </c>
      <c r="AM16" s="542">
        <f t="shared" si="6"/>
        <v>0.90700000000000003</v>
      </c>
      <c r="AN16" s="560">
        <f t="shared" si="7"/>
        <v>0.80756427578374357</v>
      </c>
      <c r="AO16" s="561">
        <f t="shared" si="8"/>
        <v>0.89036855102948576</v>
      </c>
      <c r="AP16" s="593">
        <f t="shared" si="9"/>
        <v>102138</v>
      </c>
      <c r="AQ16" s="594">
        <f t="shared" si="10"/>
        <v>92639.165999999997</v>
      </c>
      <c r="AR16" s="593">
        <f t="shared" si="11"/>
        <v>82483</v>
      </c>
      <c r="AS16" s="594">
        <f>AQ16/$AT$4</f>
        <v>7719.9304999999995</v>
      </c>
      <c r="AT16" s="594">
        <f t="shared" si="13"/>
        <v>77199.304999999993</v>
      </c>
      <c r="AU16" s="594">
        <f t="shared" si="14"/>
        <v>82483</v>
      </c>
      <c r="AV16" s="546">
        <f t="shared" si="15"/>
        <v>1.068442261235383</v>
      </c>
      <c r="AW16" s="427">
        <f t="shared" si="16"/>
        <v>5283.695000000007</v>
      </c>
    </row>
    <row r="17" spans="3:37" x14ac:dyDescent="0.25">
      <c r="C17" s="64"/>
      <c r="D17" s="65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K17" s="57"/>
    </row>
    <row r="44" spans="8:20" x14ac:dyDescent="0.25"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</row>
  </sheetData>
  <autoFilter ref="G4:AL16" xr:uid="{00000000-0001-0000-05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11">
    <mergeCell ref="G1:AL1"/>
    <mergeCell ref="G2:AH2"/>
    <mergeCell ref="AI2:AL2"/>
    <mergeCell ref="H4:AL5"/>
    <mergeCell ref="AH6:AH7"/>
    <mergeCell ref="AI6:AJ6"/>
    <mergeCell ref="AK6:AL6"/>
    <mergeCell ref="H7:T7"/>
    <mergeCell ref="H6:T6"/>
    <mergeCell ref="U7:AG7"/>
    <mergeCell ref="U6:AG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1CFF-A04C-438E-8A20-011D90E6D836}">
  <sheetPr codeName="Hoja8">
    <tabColor rgb="FFFF0000"/>
  </sheetPr>
  <dimension ref="A1:BD31"/>
  <sheetViews>
    <sheetView zoomScale="70" zoomScaleNormal="70" workbookViewId="0">
      <selection activeCell="W35" sqref="W3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57.140625" style="5" bestFit="1" customWidth="1"/>
    <col min="8" max="8" width="3.8554687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85546875" style="5" bestFit="1" customWidth="1"/>
    <col min="14" max="14" width="4.7109375" style="5" bestFit="1" customWidth="1"/>
    <col min="15" max="15" width="5" style="5" bestFit="1" customWidth="1"/>
    <col min="16" max="16" width="5.28515625" style="5" bestFit="1" customWidth="1"/>
    <col min="17" max="17" width="5.85546875" style="5" bestFit="1" customWidth="1"/>
    <col min="18" max="18" width="4.85546875" style="5" bestFit="1" customWidth="1"/>
    <col min="19" max="19" width="5.42578125" style="5" bestFit="1" customWidth="1"/>
    <col min="20" max="20" width="4.5703125" style="5" bestFit="1" customWidth="1"/>
    <col min="21" max="21" width="9.28515625" style="5" bestFit="1" customWidth="1"/>
    <col min="22" max="22" width="20.140625" style="845" bestFit="1" customWidth="1"/>
    <col min="23" max="23" width="15.85546875" style="6" bestFit="1" customWidth="1"/>
    <col min="24" max="24" width="6.85546875" style="5" bestFit="1" customWidth="1"/>
    <col min="25" max="25" width="13.5703125" style="5" bestFit="1" customWidth="1"/>
    <col min="26" max="26" width="15.85546875" style="5" bestFit="1" customWidth="1"/>
    <col min="27" max="27" width="13.5703125" style="57" bestFit="1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72" customWidth="1"/>
    <col min="36" max="37" width="12.7109375" style="5" customWidth="1"/>
    <col min="38" max="38" width="12.7109375" style="6" customWidth="1"/>
    <col min="39" max="39" width="6.42578125" style="6" customWidth="1"/>
    <col min="40" max="40" width="6.42578125" style="5" customWidth="1"/>
    <col min="41" max="41" width="40.85546875" style="5" customWidth="1"/>
    <col min="42" max="45" width="5.140625" style="5" customWidth="1"/>
    <col min="46" max="47" width="15.140625" style="5" customWidth="1"/>
    <col min="48" max="52" width="15.140625" style="5" hidden="1" customWidth="1"/>
    <col min="53" max="53" width="5.7109375" style="5" customWidth="1"/>
    <col min="54" max="54" width="3.140625" style="5" customWidth="1"/>
    <col min="55" max="55" width="5.42578125" style="5" hidden="1" customWidth="1"/>
    <col min="56" max="56" width="4.28515625" style="5" customWidth="1"/>
    <col min="57" max="16384" width="11.42578125" style="5"/>
  </cols>
  <sheetData>
    <row r="1" spans="1:56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56"/>
      <c r="AC1" s="56"/>
      <c r="AG1" s="56"/>
      <c r="AI1" s="117"/>
      <c r="AL1" s="3"/>
      <c r="AM1" s="3"/>
    </row>
    <row r="2" spans="1:56" s="2" customFormat="1" ht="28.5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5" t="str">
        <f>+NOMBRE!B7</f>
        <v>ENERO - OCTUBRE 2024</v>
      </c>
      <c r="Y2" s="905"/>
      <c r="Z2" s="905"/>
      <c r="AA2" s="905"/>
      <c r="AB2" s="56"/>
      <c r="AC2" s="56"/>
      <c r="AG2" s="56"/>
      <c r="AI2" s="117"/>
      <c r="AL2" s="3"/>
      <c r="AM2" s="3"/>
    </row>
    <row r="3" spans="1:56" ht="3" customHeight="1" thickBot="1" x14ac:dyDescent="0.3"/>
    <row r="4" spans="1:56" ht="15" customHeight="1" x14ac:dyDescent="0.25">
      <c r="G4" s="58"/>
      <c r="H4" s="906" t="s">
        <v>514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42"/>
      <c r="W4" s="942"/>
      <c r="X4" s="942"/>
      <c r="Y4" s="942"/>
      <c r="Z4" s="942"/>
      <c r="AA4" s="943"/>
      <c r="AB4" s="5"/>
      <c r="AC4" s="5"/>
      <c r="AE4" s="6"/>
      <c r="AG4" s="5"/>
      <c r="AH4" s="87" t="s">
        <v>45</v>
      </c>
      <c r="AI4" s="88">
        <v>12</v>
      </c>
      <c r="AJ4" s="6"/>
      <c r="AK4" s="6"/>
      <c r="AL4" s="5"/>
    </row>
    <row r="5" spans="1:56" ht="23.25" customHeight="1" thickBot="1" x14ac:dyDescent="0.3">
      <c r="G5" s="58"/>
      <c r="H5" s="944"/>
      <c r="I5" s="945"/>
      <c r="J5" s="945"/>
      <c r="K5" s="945"/>
      <c r="L5" s="945"/>
      <c r="M5" s="945"/>
      <c r="N5" s="945"/>
      <c r="O5" s="945"/>
      <c r="P5" s="945"/>
      <c r="Q5" s="945"/>
      <c r="R5" s="945"/>
      <c r="S5" s="945"/>
      <c r="T5" s="945"/>
      <c r="U5" s="945"/>
      <c r="V5" s="945"/>
      <c r="W5" s="945"/>
      <c r="X5" s="945"/>
      <c r="Y5" s="945"/>
      <c r="Z5" s="945"/>
      <c r="AA5" s="946"/>
      <c r="AB5" s="5"/>
      <c r="AC5" s="5"/>
      <c r="AE5" s="6"/>
      <c r="AG5" s="5"/>
      <c r="AH5" s="87" t="s">
        <v>46</v>
      </c>
      <c r="AI5" s="88">
        <f>meta3!AB2</f>
        <v>10</v>
      </c>
      <c r="AJ5" s="6"/>
      <c r="AL5" s="5"/>
    </row>
    <row r="6" spans="1:56" ht="51" customHeight="1" thickBot="1" x14ac:dyDescent="0.3">
      <c r="G6" s="58"/>
      <c r="H6" s="940" t="s">
        <v>4</v>
      </c>
      <c r="I6" s="941"/>
      <c r="J6" s="941"/>
      <c r="K6" s="941"/>
      <c r="L6" s="941"/>
      <c r="M6" s="941"/>
      <c r="N6" s="941"/>
      <c r="O6" s="941"/>
      <c r="P6" s="941"/>
      <c r="Q6" s="941"/>
      <c r="R6" s="941"/>
      <c r="S6" s="941"/>
      <c r="T6" s="941"/>
      <c r="U6" s="950"/>
      <c r="V6" s="8" t="s">
        <v>5</v>
      </c>
      <c r="W6" s="912" t="s">
        <v>83</v>
      </c>
      <c r="X6" s="914">
        <f>+NOMBRE!$B$9</f>
        <v>2024</v>
      </c>
      <c r="Y6" s="915"/>
      <c r="Z6" s="916" t="s">
        <v>7</v>
      </c>
      <c r="AA6" s="917"/>
      <c r="AB6" s="89" t="s">
        <v>47</v>
      </c>
      <c r="AC6" s="89" t="s">
        <v>48</v>
      </c>
      <c r="AD6" s="89" t="s">
        <v>49</v>
      </c>
      <c r="AE6" s="89" t="s">
        <v>50</v>
      </c>
      <c r="AF6" s="89" t="s">
        <v>51</v>
      </c>
      <c r="AG6" s="89" t="s">
        <v>52</v>
      </c>
      <c r="AH6" s="89" t="s">
        <v>45</v>
      </c>
      <c r="AI6" s="89" t="s">
        <v>53</v>
      </c>
      <c r="AJ6" s="89" t="s">
        <v>54</v>
      </c>
      <c r="AK6" s="89" t="s">
        <v>55</v>
      </c>
      <c r="AL6" s="89" t="s">
        <v>56</v>
      </c>
    </row>
    <row r="7" spans="1:56" ht="93" customHeight="1" thickBot="1" x14ac:dyDescent="0.3">
      <c r="G7" s="58"/>
      <c r="H7" s="947" t="s">
        <v>84</v>
      </c>
      <c r="I7" s="948"/>
      <c r="J7" s="948"/>
      <c r="K7" s="948"/>
      <c r="L7" s="948"/>
      <c r="M7" s="948"/>
      <c r="N7" s="948"/>
      <c r="O7" s="948"/>
      <c r="P7" s="948"/>
      <c r="Q7" s="948"/>
      <c r="R7" s="948"/>
      <c r="S7" s="948"/>
      <c r="T7" s="948"/>
      <c r="U7" s="949"/>
      <c r="V7" s="11" t="s">
        <v>85</v>
      </c>
      <c r="W7" s="913"/>
      <c r="X7" s="12" t="s">
        <v>11</v>
      </c>
      <c r="Y7" s="12" t="s">
        <v>463</v>
      </c>
      <c r="Z7" s="118" t="s">
        <v>13</v>
      </c>
      <c r="AA7" s="14" t="s">
        <v>504</v>
      </c>
      <c r="AB7" s="90" t="s">
        <v>57</v>
      </c>
      <c r="AC7" s="90" t="s">
        <v>58</v>
      </c>
      <c r="AD7" s="90" t="s">
        <v>59</v>
      </c>
      <c r="AE7" s="91" t="s">
        <v>60</v>
      </c>
      <c r="AF7" s="91" t="s">
        <v>61</v>
      </c>
      <c r="AG7" s="91" t="s">
        <v>62</v>
      </c>
      <c r="AH7" s="91" t="s">
        <v>63</v>
      </c>
      <c r="AI7" s="91" t="s">
        <v>64</v>
      </c>
      <c r="AJ7" s="91" t="s">
        <v>65</v>
      </c>
      <c r="AK7" s="92" t="s">
        <v>66</v>
      </c>
      <c r="AL7" s="92" t="s">
        <v>67</v>
      </c>
    </row>
    <row r="8" spans="1:56" ht="93" customHeight="1" thickBot="1" x14ac:dyDescent="0.3">
      <c r="G8" s="603" t="s">
        <v>431</v>
      </c>
      <c r="H8" s="436"/>
      <c r="I8" s="420" t="s">
        <v>189</v>
      </c>
      <c r="J8" s="420" t="s">
        <v>190</v>
      </c>
      <c r="K8" s="420" t="s">
        <v>191</v>
      </c>
      <c r="L8" s="420" t="s">
        <v>192</v>
      </c>
      <c r="M8" s="420" t="s">
        <v>193</v>
      </c>
      <c r="N8" s="420" t="s">
        <v>194</v>
      </c>
      <c r="O8" s="420" t="s">
        <v>195</v>
      </c>
      <c r="P8" s="420" t="s">
        <v>196</v>
      </c>
      <c r="Q8" s="420" t="s">
        <v>423</v>
      </c>
      <c r="R8" s="420" t="s">
        <v>198</v>
      </c>
      <c r="S8" s="420" t="s">
        <v>199</v>
      </c>
      <c r="T8" s="420" t="s">
        <v>200</v>
      </c>
      <c r="U8" s="472" t="s">
        <v>201</v>
      </c>
      <c r="V8" s="437"/>
      <c r="W8" s="438"/>
      <c r="X8" s="678">
        <f>indicadores!E22</f>
        <v>0.16500000000000001</v>
      </c>
      <c r="Y8" s="480">
        <f>indicadores!$D$54</f>
        <v>0.7</v>
      </c>
      <c r="Z8" s="441"/>
      <c r="AA8" s="485">
        <v>5.49</v>
      </c>
      <c r="AB8" s="489" t="s">
        <v>68</v>
      </c>
      <c r="AC8" s="489" t="s">
        <v>69</v>
      </c>
      <c r="AD8" s="489" t="s">
        <v>70</v>
      </c>
      <c r="AE8" s="489" t="s">
        <v>71</v>
      </c>
      <c r="AF8" s="489" t="s">
        <v>72</v>
      </c>
      <c r="AG8" s="489" t="s">
        <v>73</v>
      </c>
      <c r="AH8" s="489" t="s">
        <v>74</v>
      </c>
      <c r="AI8" s="489" t="s">
        <v>75</v>
      </c>
      <c r="AJ8" s="489" t="s">
        <v>76</v>
      </c>
      <c r="AK8" s="489" t="s">
        <v>77</v>
      </c>
      <c r="AL8" s="489" t="s">
        <v>78</v>
      </c>
    </row>
    <row r="9" spans="1:56" ht="15" customHeight="1" thickBot="1" x14ac:dyDescent="0.35">
      <c r="A9"/>
      <c r="B9"/>
      <c r="C9" s="64"/>
      <c r="D9" s="65"/>
      <c r="E9" s="66"/>
      <c r="F9" s="105"/>
      <c r="G9" s="19" t="s">
        <v>432</v>
      </c>
      <c r="H9" s="68"/>
      <c r="I9" s="68">
        <f>+REMA!CP6</f>
        <v>151</v>
      </c>
      <c r="J9" s="68">
        <f>+REMA!CQ6</f>
        <v>90</v>
      </c>
      <c r="K9" s="68">
        <f>+REMA!CR6</f>
        <v>142</v>
      </c>
      <c r="L9" s="68">
        <f>+REMA!CS6</f>
        <v>126</v>
      </c>
      <c r="M9" s="68">
        <f>+REMA!CT6</f>
        <v>130</v>
      </c>
      <c r="N9" s="68">
        <f>+REMA!CU6</f>
        <v>124</v>
      </c>
      <c r="O9" s="68">
        <f>+REMA!CV6</f>
        <v>149</v>
      </c>
      <c r="P9" s="68">
        <f>+REMA!CW6</f>
        <v>79</v>
      </c>
      <c r="Q9" s="68">
        <f>+REMA!CX6</f>
        <v>94</v>
      </c>
      <c r="R9" s="68">
        <f>+REMA!CY6</f>
        <v>118</v>
      </c>
      <c r="S9" s="68">
        <f>+REMA!CZ6</f>
        <v>0</v>
      </c>
      <c r="T9" s="68">
        <f>+REMA!DA6</f>
        <v>0</v>
      </c>
      <c r="U9" s="69">
        <f>SUM(I9:T9)</f>
        <v>1203</v>
      </c>
      <c r="V9" s="515">
        <f>+Poblacion2024!G6</f>
        <v>11436.638181818184</v>
      </c>
      <c r="W9" s="70">
        <f>IF(V9=0,0,+U9/V9)</f>
        <v>0.10518825382729284</v>
      </c>
      <c r="X9" s="646">
        <v>0.16500000000000001</v>
      </c>
      <c r="Y9" s="646">
        <f>+X9*$Y$8</f>
        <v>0.11549999999999999</v>
      </c>
      <c r="Z9" s="120">
        <f t="shared" ref="Z9:Z16" si="0">IF(+W9/Y9&gt;1,1,+W9/Y9)</f>
        <v>0.91072081235751379</v>
      </c>
      <c r="AA9" s="71">
        <f>+Z9*$AA$8/100</f>
        <v>4.9998572598427514E-2</v>
      </c>
      <c r="AB9" s="595">
        <f>X9</f>
        <v>0.16500000000000001</v>
      </c>
      <c r="AC9" s="595">
        <f>(AG9/AE9)</f>
        <v>0.10518825382729284</v>
      </c>
      <c r="AD9" s="596">
        <f>AC9/AB9</f>
        <v>0.63750456865025962</v>
      </c>
      <c r="AE9" s="496">
        <f>V9</f>
        <v>11436.638181818184</v>
      </c>
      <c r="AF9" s="497">
        <f>AE9*AB9</f>
        <v>1887.0453000000005</v>
      </c>
      <c r="AG9" s="496">
        <f>U9</f>
        <v>1203</v>
      </c>
      <c r="AH9" s="497">
        <f>AF9/$AI$4</f>
        <v>157.25377500000005</v>
      </c>
      <c r="AI9" s="497">
        <f>AH9*$AI$5</f>
        <v>1572.5377500000004</v>
      </c>
      <c r="AJ9" s="497">
        <f>U9</f>
        <v>1203</v>
      </c>
      <c r="AK9" s="488">
        <f>AJ9/AI9</f>
        <v>0.76500548238031152</v>
      </c>
      <c r="AL9" s="427">
        <f>(AI9-AJ9)*-1</f>
        <v>-369.53775000000041</v>
      </c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ht="15" customHeight="1" thickBot="1" x14ac:dyDescent="0.35">
      <c r="A10"/>
      <c r="B10"/>
      <c r="C10" s="64"/>
      <c r="D10" s="65"/>
      <c r="E10" s="66"/>
      <c r="F10" s="105"/>
      <c r="G10" s="19" t="s">
        <v>433</v>
      </c>
      <c r="H10" s="73"/>
      <c r="I10" s="73">
        <f>+REMA!CP7</f>
        <v>49</v>
      </c>
      <c r="J10" s="73">
        <f>+REMA!CQ7</f>
        <v>30</v>
      </c>
      <c r="K10" s="73">
        <f>+REMA!CR7</f>
        <v>44</v>
      </c>
      <c r="L10" s="73">
        <f>+REMA!CS7</f>
        <v>35</v>
      </c>
      <c r="M10" s="73">
        <f>+REMA!CT7</f>
        <v>34</v>
      </c>
      <c r="N10" s="73">
        <f>+REMA!CU7</f>
        <v>43</v>
      </c>
      <c r="O10" s="73">
        <f>+REMA!CV7</f>
        <v>25</v>
      </c>
      <c r="P10" s="73">
        <f>+REMA!CW7</f>
        <v>62</v>
      </c>
      <c r="Q10" s="73">
        <f>+REMA!CX7</f>
        <v>43</v>
      </c>
      <c r="R10" s="73">
        <f>+REMA!CY7</f>
        <v>62</v>
      </c>
      <c r="S10" s="73">
        <f>+REMA!CZ7</f>
        <v>0</v>
      </c>
      <c r="T10" s="73">
        <f>+REMA!DA7</f>
        <v>0</v>
      </c>
      <c r="U10" s="74">
        <f t="shared" ref="U10:U15" si="1">SUM(I10:T10)</f>
        <v>427</v>
      </c>
      <c r="V10" s="513">
        <f>+Poblacion2024!G7</f>
        <v>7025.757575757576</v>
      </c>
      <c r="W10" s="76">
        <f t="shared" ref="W10:W16" si="2">IF(V10=0,0,+U10/V10)</f>
        <v>6.077636402846668E-2</v>
      </c>
      <c r="X10" s="647">
        <v>0.16500000000000001</v>
      </c>
      <c r="Y10" s="647">
        <f t="shared" ref="Y10:Y16" si="3">+X10*$Y$8</f>
        <v>0.11549999999999999</v>
      </c>
      <c r="Z10" s="124">
        <f t="shared" si="0"/>
        <v>0.52620228596075047</v>
      </c>
      <c r="AA10" s="71">
        <f t="shared" ref="AA10:AA16" si="4">+Z10*$AA$8/100</f>
        <v>2.8888505499245203E-2</v>
      </c>
      <c r="AB10" s="94">
        <f t="shared" ref="AB10:AB16" si="5">X10</f>
        <v>0.16500000000000001</v>
      </c>
      <c r="AC10" s="94">
        <f t="shared" ref="AC10:AC16" si="6">(AG10/AE10)</f>
        <v>6.077636402846668E-2</v>
      </c>
      <c r="AD10" s="95">
        <f t="shared" ref="AD10:AD16" si="7">AC10/AB10</f>
        <v>0.36834160017252532</v>
      </c>
      <c r="AE10" s="496">
        <f t="shared" ref="AE10:AE16" si="8">V10</f>
        <v>7025.757575757576</v>
      </c>
      <c r="AF10" s="497">
        <f t="shared" ref="AF10:AF16" si="9">AE10*AB10</f>
        <v>1159.25</v>
      </c>
      <c r="AG10" s="496">
        <f t="shared" ref="AG10:AG16" si="10">U10</f>
        <v>427</v>
      </c>
      <c r="AH10" s="497">
        <f t="shared" ref="AH10:AH15" si="11">AF10/$AI$4</f>
        <v>96.604166666666671</v>
      </c>
      <c r="AI10" s="497">
        <f t="shared" ref="AI10:AI15" si="12">AH10*$AI$5</f>
        <v>966.04166666666674</v>
      </c>
      <c r="AJ10" s="497">
        <f t="shared" ref="AJ10:AJ16" si="13">U10</f>
        <v>427</v>
      </c>
      <c r="AK10" s="98">
        <f t="shared" ref="AK10:AK15" si="14">AJ10/AI10</f>
        <v>0.44200992020703039</v>
      </c>
      <c r="AL10" s="427">
        <f t="shared" ref="AL10:AL16" si="15">(AI10-AJ10)*-1</f>
        <v>-539.04166666666674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ht="15" customHeight="1" thickBot="1" x14ac:dyDescent="0.35">
      <c r="A11"/>
      <c r="B11"/>
      <c r="C11" s="64"/>
      <c r="D11" s="65"/>
      <c r="E11" s="66"/>
      <c r="F11" s="105"/>
      <c r="G11" s="19" t="s">
        <v>434</v>
      </c>
      <c r="H11" s="73"/>
      <c r="I11" s="73">
        <f>+REMA!CP8</f>
        <v>58</v>
      </c>
      <c r="J11" s="73">
        <f>+REMA!CQ8</f>
        <v>16</v>
      </c>
      <c r="K11" s="73">
        <f>+REMA!CR8</f>
        <v>30</v>
      </c>
      <c r="L11" s="73">
        <f>+REMA!CS8</f>
        <v>43</v>
      </c>
      <c r="M11" s="73">
        <f>+REMA!CT8</f>
        <v>37</v>
      </c>
      <c r="N11" s="73">
        <f>+REMA!CU8</f>
        <v>56</v>
      </c>
      <c r="O11" s="73">
        <f>+REMA!CV8</f>
        <v>67</v>
      </c>
      <c r="P11" s="73">
        <f>+REMA!CW8</f>
        <v>81</v>
      </c>
      <c r="Q11" s="73">
        <f>+REMA!CX8</f>
        <v>37</v>
      </c>
      <c r="R11" s="73">
        <f>+REMA!CY8</f>
        <v>69</v>
      </c>
      <c r="S11" s="73">
        <f>+REMA!CZ8</f>
        <v>0</v>
      </c>
      <c r="T11" s="73">
        <f>+REMA!DA8</f>
        <v>0</v>
      </c>
      <c r="U11" s="74">
        <f t="shared" si="1"/>
        <v>494</v>
      </c>
      <c r="V11" s="513">
        <f>+Poblacion2024!G8</f>
        <v>5541.818181818182</v>
      </c>
      <c r="W11" s="76">
        <f t="shared" si="2"/>
        <v>8.9140419947506558E-2</v>
      </c>
      <c r="X11" s="647">
        <v>0.16500000000000001</v>
      </c>
      <c r="Y11" s="647">
        <f t="shared" si="3"/>
        <v>0.11549999999999999</v>
      </c>
      <c r="Z11" s="124">
        <f t="shared" si="0"/>
        <v>0.77177852768403954</v>
      </c>
      <c r="AA11" s="71">
        <f t="shared" si="4"/>
        <v>4.237064116985377E-2</v>
      </c>
      <c r="AB11" s="94">
        <f t="shared" si="5"/>
        <v>0.16500000000000001</v>
      </c>
      <c r="AC11" s="94">
        <f t="shared" si="6"/>
        <v>8.9140419947506558E-2</v>
      </c>
      <c r="AD11" s="95">
        <f t="shared" si="7"/>
        <v>0.5402449693788276</v>
      </c>
      <c r="AE11" s="496">
        <f t="shared" si="8"/>
        <v>5541.818181818182</v>
      </c>
      <c r="AF11" s="497">
        <f t="shared" si="9"/>
        <v>914.40000000000009</v>
      </c>
      <c r="AG11" s="496">
        <f t="shared" si="10"/>
        <v>494</v>
      </c>
      <c r="AH11" s="497">
        <f t="shared" si="11"/>
        <v>76.2</v>
      </c>
      <c r="AI11" s="497">
        <f t="shared" si="12"/>
        <v>762</v>
      </c>
      <c r="AJ11" s="497">
        <f t="shared" si="13"/>
        <v>494</v>
      </c>
      <c r="AK11" s="98">
        <f t="shared" si="14"/>
        <v>0.64829396325459321</v>
      </c>
      <c r="AL11" s="427">
        <f t="shared" si="15"/>
        <v>-268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ht="15" customHeight="1" thickBot="1" x14ac:dyDescent="0.35">
      <c r="A12"/>
      <c r="B12"/>
      <c r="C12" s="64"/>
      <c r="D12" s="65"/>
      <c r="E12" s="66"/>
      <c r="F12" s="105"/>
      <c r="G12" s="19" t="s">
        <v>435</v>
      </c>
      <c r="H12" s="73"/>
      <c r="I12" s="73">
        <f>+REMA!CP9</f>
        <v>45</v>
      </c>
      <c r="J12" s="73">
        <f>+REMA!CQ9</f>
        <v>44</v>
      </c>
      <c r="K12" s="73">
        <f>+REMA!CR9</f>
        <v>36</v>
      </c>
      <c r="L12" s="73">
        <f>+REMA!CS9</f>
        <v>55</v>
      </c>
      <c r="M12" s="73">
        <f>+REMA!CT9</f>
        <v>60</v>
      </c>
      <c r="N12" s="73">
        <f>+REMA!CU9</f>
        <v>81</v>
      </c>
      <c r="O12" s="73">
        <f>+REMA!CV9</f>
        <v>77</v>
      </c>
      <c r="P12" s="73">
        <f>+REMA!CW9</f>
        <v>63</v>
      </c>
      <c r="Q12" s="73">
        <f>+REMA!CX9</f>
        <v>41</v>
      </c>
      <c r="R12" s="73">
        <f>+REMA!CY9</f>
        <v>76</v>
      </c>
      <c r="S12" s="73">
        <f>+REMA!CZ9</f>
        <v>0</v>
      </c>
      <c r="T12" s="73">
        <f>+REMA!DA9</f>
        <v>0</v>
      </c>
      <c r="U12" s="74">
        <f t="shared" si="1"/>
        <v>578</v>
      </c>
      <c r="V12" s="513">
        <f>+Poblacion2024!G9</f>
        <v>5603.8538181818194</v>
      </c>
      <c r="W12" s="76">
        <f t="shared" si="2"/>
        <v>0.10314330436755274</v>
      </c>
      <c r="X12" s="647">
        <v>0.16500000000000001</v>
      </c>
      <c r="Y12" s="647">
        <f t="shared" si="3"/>
        <v>0.11549999999999999</v>
      </c>
      <c r="Z12" s="124">
        <f t="shared" si="0"/>
        <v>0.89301562222989395</v>
      </c>
      <c r="AA12" s="71">
        <f t="shared" si="4"/>
        <v>4.9026557660421181E-2</v>
      </c>
      <c r="AB12" s="94">
        <f t="shared" si="5"/>
        <v>0.16500000000000001</v>
      </c>
      <c r="AC12" s="94">
        <f t="shared" si="6"/>
        <v>0.10314330436755274</v>
      </c>
      <c r="AD12" s="95">
        <f t="shared" si="7"/>
        <v>0.62511093556092567</v>
      </c>
      <c r="AE12" s="496">
        <f t="shared" si="8"/>
        <v>5603.8538181818194</v>
      </c>
      <c r="AF12" s="497">
        <f t="shared" si="9"/>
        <v>924.63588000000027</v>
      </c>
      <c r="AG12" s="496">
        <f t="shared" si="10"/>
        <v>578</v>
      </c>
      <c r="AH12" s="497">
        <f t="shared" si="11"/>
        <v>77.052990000000023</v>
      </c>
      <c r="AI12" s="497">
        <f t="shared" si="12"/>
        <v>770.52990000000023</v>
      </c>
      <c r="AJ12" s="497">
        <f t="shared" si="13"/>
        <v>578</v>
      </c>
      <c r="AK12" s="98">
        <f t="shared" si="14"/>
        <v>0.75013312267311083</v>
      </c>
      <c r="AL12" s="427">
        <f t="shared" si="15"/>
        <v>-192.52990000000023</v>
      </c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ht="15" customHeight="1" thickBot="1" x14ac:dyDescent="0.35">
      <c r="A13"/>
      <c r="B13"/>
      <c r="C13" s="64"/>
      <c r="D13" s="65"/>
      <c r="E13" s="66"/>
      <c r="F13" s="105"/>
      <c r="G13" s="19" t="s">
        <v>436</v>
      </c>
      <c r="H13" s="73"/>
      <c r="I13" s="73">
        <f>+REMA!CP10</f>
        <v>84</v>
      </c>
      <c r="J13" s="73">
        <f>+REMA!CQ10</f>
        <v>37</v>
      </c>
      <c r="K13" s="73">
        <f>+REMA!CR10</f>
        <v>72</v>
      </c>
      <c r="L13" s="73">
        <f>+REMA!CS10</f>
        <v>38</v>
      </c>
      <c r="M13" s="73">
        <f>+REMA!CT10</f>
        <v>31</v>
      </c>
      <c r="N13" s="73">
        <f>+REMA!CU10</f>
        <v>21</v>
      </c>
      <c r="O13" s="73">
        <f>+REMA!CV10</f>
        <v>11</v>
      </c>
      <c r="P13" s="73">
        <f>+REMA!CW10</f>
        <v>16</v>
      </c>
      <c r="Q13" s="73">
        <f>+REMA!CX10</f>
        <v>33</v>
      </c>
      <c r="R13" s="73">
        <f>+REMA!CY10</f>
        <v>38</v>
      </c>
      <c r="S13" s="73">
        <f>+REMA!CZ10</f>
        <v>0</v>
      </c>
      <c r="T13" s="73">
        <f>+REMA!DA10</f>
        <v>0</v>
      </c>
      <c r="U13" s="74">
        <f t="shared" si="1"/>
        <v>381</v>
      </c>
      <c r="V13" s="513">
        <f>+Poblacion2024!G10</f>
        <v>5608.787878787879</v>
      </c>
      <c r="W13" s="76">
        <f t="shared" si="2"/>
        <v>6.7929115565400613E-2</v>
      </c>
      <c r="X13" s="647">
        <v>0.16500000000000001</v>
      </c>
      <c r="Y13" s="647">
        <f t="shared" si="3"/>
        <v>0.11549999999999999</v>
      </c>
      <c r="Z13" s="124">
        <f t="shared" si="0"/>
        <v>0.58813087069610925</v>
      </c>
      <c r="AA13" s="71">
        <f t="shared" si="4"/>
        <v>3.2288384801216402E-2</v>
      </c>
      <c r="AB13" s="94">
        <f t="shared" si="5"/>
        <v>0.16500000000000001</v>
      </c>
      <c r="AC13" s="94">
        <f t="shared" si="6"/>
        <v>6.7929115565400613E-2</v>
      </c>
      <c r="AD13" s="95">
        <f t="shared" si="7"/>
        <v>0.4116916094872764</v>
      </c>
      <c r="AE13" s="496">
        <f t="shared" si="8"/>
        <v>5608.787878787879</v>
      </c>
      <c r="AF13" s="497">
        <f t="shared" si="9"/>
        <v>925.45</v>
      </c>
      <c r="AG13" s="496">
        <f t="shared" si="10"/>
        <v>381</v>
      </c>
      <c r="AH13" s="497">
        <f t="shared" si="11"/>
        <v>77.120833333333337</v>
      </c>
      <c r="AI13" s="497">
        <f t="shared" si="12"/>
        <v>771.20833333333337</v>
      </c>
      <c r="AJ13" s="497">
        <f t="shared" si="13"/>
        <v>381</v>
      </c>
      <c r="AK13" s="98">
        <f t="shared" si="14"/>
        <v>0.49402993138473172</v>
      </c>
      <c r="AL13" s="427">
        <f t="shared" si="15"/>
        <v>-390.20833333333337</v>
      </c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ht="15" customHeight="1" thickBot="1" x14ac:dyDescent="0.35">
      <c r="A14"/>
      <c r="B14"/>
      <c r="C14" s="64"/>
      <c r="D14" s="65"/>
      <c r="E14" s="66"/>
      <c r="F14" s="105"/>
      <c r="G14" s="19" t="s">
        <v>437</v>
      </c>
      <c r="H14" s="73"/>
      <c r="I14" s="73">
        <f>+REMA!CP11</f>
        <v>2</v>
      </c>
      <c r="J14" s="73">
        <f>+REMA!CQ11</f>
        <v>0</v>
      </c>
      <c r="K14" s="73">
        <f>+REMA!CR11</f>
        <v>1</v>
      </c>
      <c r="L14" s="73">
        <f>+REMA!CS11</f>
        <v>3</v>
      </c>
      <c r="M14" s="73">
        <f>+REMA!CT11</f>
        <v>0</v>
      </c>
      <c r="N14" s="73">
        <f>+REMA!CU11</f>
        <v>0</v>
      </c>
      <c r="O14" s="73">
        <f>+REMA!CV11</f>
        <v>0</v>
      </c>
      <c r="P14" s="73">
        <f>+REMA!CW11</f>
        <v>2</v>
      </c>
      <c r="Q14" s="73">
        <f>+REMA!CX11</f>
        <v>0</v>
      </c>
      <c r="R14" s="73">
        <f>+REMA!CY11</f>
        <v>0</v>
      </c>
      <c r="S14" s="73">
        <f>+REMA!CZ11</f>
        <v>0</v>
      </c>
      <c r="T14" s="73">
        <f>+REMA!DA11</f>
        <v>0</v>
      </c>
      <c r="U14" s="74">
        <f t="shared" si="1"/>
        <v>8</v>
      </c>
      <c r="V14" s="513">
        <f>+Poblacion2024!G11</f>
        <v>150.63454545454545</v>
      </c>
      <c r="W14" s="76">
        <f t="shared" si="2"/>
        <v>5.3108667575951431E-2</v>
      </c>
      <c r="X14" s="647">
        <v>0.16500000000000001</v>
      </c>
      <c r="Y14" s="647">
        <f t="shared" si="3"/>
        <v>0.11549999999999999</v>
      </c>
      <c r="Z14" s="124">
        <f t="shared" si="0"/>
        <v>0.4598153036878912</v>
      </c>
      <c r="AA14" s="71">
        <f t="shared" si="4"/>
        <v>2.5243860172465226E-2</v>
      </c>
      <c r="AB14" s="94">
        <f t="shared" si="5"/>
        <v>0.16500000000000001</v>
      </c>
      <c r="AC14" s="94">
        <f t="shared" si="6"/>
        <v>5.3108667575951431E-2</v>
      </c>
      <c r="AD14" s="95">
        <f t="shared" si="7"/>
        <v>0.32187071258152383</v>
      </c>
      <c r="AE14" s="496">
        <f t="shared" si="8"/>
        <v>150.63454545454545</v>
      </c>
      <c r="AF14" s="497">
        <f t="shared" si="9"/>
        <v>24.854700000000001</v>
      </c>
      <c r="AG14" s="496">
        <f t="shared" si="10"/>
        <v>8</v>
      </c>
      <c r="AH14" s="497">
        <f t="shared" si="11"/>
        <v>2.0712250000000001</v>
      </c>
      <c r="AI14" s="497">
        <f t="shared" si="12"/>
        <v>20.712250000000001</v>
      </c>
      <c r="AJ14" s="497">
        <f t="shared" si="13"/>
        <v>8</v>
      </c>
      <c r="AK14" s="98">
        <f t="shared" si="14"/>
        <v>0.38624485509782858</v>
      </c>
      <c r="AL14" s="427">
        <f t="shared" si="15"/>
        <v>-12.712250000000001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113"/>
      <c r="I15" s="113">
        <f>+REMA!CP12</f>
        <v>68</v>
      </c>
      <c r="J15" s="113">
        <f>+REMA!CQ12</f>
        <v>18</v>
      </c>
      <c r="K15" s="113">
        <f>+REMA!CR12</f>
        <v>41</v>
      </c>
      <c r="L15" s="113">
        <f>+REMA!CS12</f>
        <v>34</v>
      </c>
      <c r="M15" s="113">
        <f>+REMA!CT12</f>
        <v>22</v>
      </c>
      <c r="N15" s="113">
        <f>+REMA!CU12</f>
        <v>32</v>
      </c>
      <c r="O15" s="113">
        <f>+REMA!CV12</f>
        <v>125</v>
      </c>
      <c r="P15" s="113">
        <f>+REMA!CW12</f>
        <v>64</v>
      </c>
      <c r="Q15" s="113">
        <f>+REMA!CX12</f>
        <v>18</v>
      </c>
      <c r="R15" s="113">
        <f>+REMA!CY12</f>
        <v>19</v>
      </c>
      <c r="S15" s="113">
        <f>+REMA!CZ12</f>
        <v>0</v>
      </c>
      <c r="T15" s="113">
        <f>+REMA!DA12</f>
        <v>0</v>
      </c>
      <c r="U15" s="114">
        <f t="shared" si="1"/>
        <v>441</v>
      </c>
      <c r="V15" s="846">
        <f>+Poblacion2024!G12</f>
        <v>1478.8734545454549</v>
      </c>
      <c r="W15" s="576">
        <f t="shared" si="2"/>
        <v>0.29819995662546078</v>
      </c>
      <c r="X15" s="647">
        <v>0.16500000000000001</v>
      </c>
      <c r="Y15" s="647">
        <f t="shared" si="3"/>
        <v>0.11549999999999999</v>
      </c>
      <c r="Z15" s="132">
        <f t="shared" si="0"/>
        <v>1</v>
      </c>
      <c r="AA15" s="71">
        <f t="shared" si="4"/>
        <v>5.4900000000000004E-2</v>
      </c>
      <c r="AB15" s="554">
        <f t="shared" si="5"/>
        <v>0.16500000000000001</v>
      </c>
      <c r="AC15" s="554">
        <f t="shared" si="6"/>
        <v>0.29819995662546078</v>
      </c>
      <c r="AD15" s="555">
        <f t="shared" si="7"/>
        <v>1.8072724643967319</v>
      </c>
      <c r="AE15" s="598">
        <f t="shared" si="8"/>
        <v>1478.8734545454549</v>
      </c>
      <c r="AF15" s="599">
        <f t="shared" si="9"/>
        <v>244.01412000000008</v>
      </c>
      <c r="AG15" s="598">
        <f t="shared" si="10"/>
        <v>441</v>
      </c>
      <c r="AH15" s="497">
        <f t="shared" si="11"/>
        <v>20.334510000000005</v>
      </c>
      <c r="AI15" s="599">
        <f t="shared" si="12"/>
        <v>203.34510000000006</v>
      </c>
      <c r="AJ15" s="599">
        <f t="shared" si="13"/>
        <v>441</v>
      </c>
      <c r="AK15" s="541">
        <f t="shared" si="14"/>
        <v>2.1687269572760783</v>
      </c>
      <c r="AL15" s="427">
        <f t="shared" si="15"/>
        <v>237.65489999999994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ht="15" customHeight="1" thickBot="1" x14ac:dyDescent="0.35">
      <c r="A16"/>
      <c r="B16"/>
      <c r="C16" s="64"/>
      <c r="D16" s="65"/>
      <c r="E16" s="66"/>
      <c r="F16" s="105"/>
      <c r="G16" s="538" t="s">
        <v>15</v>
      </c>
      <c r="H16" s="84"/>
      <c r="I16" s="84">
        <f t="shared" ref="I16:T16" si="16">SUM(I9:I15)</f>
        <v>457</v>
      </c>
      <c r="J16" s="84">
        <f t="shared" si="16"/>
        <v>235</v>
      </c>
      <c r="K16" s="84">
        <f t="shared" si="16"/>
        <v>366</v>
      </c>
      <c r="L16" s="84">
        <f t="shared" si="16"/>
        <v>334</v>
      </c>
      <c r="M16" s="84">
        <f t="shared" si="16"/>
        <v>314</v>
      </c>
      <c r="N16" s="84">
        <f t="shared" si="16"/>
        <v>357</v>
      </c>
      <c r="O16" s="84">
        <f t="shared" si="16"/>
        <v>454</v>
      </c>
      <c r="P16" s="84">
        <f t="shared" si="16"/>
        <v>367</v>
      </c>
      <c r="Q16" s="84">
        <f t="shared" si="16"/>
        <v>266</v>
      </c>
      <c r="R16" s="84">
        <f t="shared" si="16"/>
        <v>382</v>
      </c>
      <c r="S16" s="84">
        <f t="shared" si="16"/>
        <v>0</v>
      </c>
      <c r="T16" s="84">
        <f t="shared" si="16"/>
        <v>0</v>
      </c>
      <c r="U16" s="84">
        <f>SUM(U9:U15)</f>
        <v>3532</v>
      </c>
      <c r="V16" s="847">
        <f>SUM(V9:V15)</f>
        <v>36846.36363636364</v>
      </c>
      <c r="W16" s="582">
        <f t="shared" si="2"/>
        <v>9.5857491796402738E-2</v>
      </c>
      <c r="X16" s="648">
        <v>0.16500000000000001</v>
      </c>
      <c r="Y16" s="648">
        <f t="shared" si="3"/>
        <v>0.11549999999999999</v>
      </c>
      <c r="Z16" s="611">
        <f t="shared" si="0"/>
        <v>0.82993499390824887</v>
      </c>
      <c r="AA16" s="508">
        <f t="shared" si="4"/>
        <v>4.5563431165562863E-2</v>
      </c>
      <c r="AB16" s="560">
        <f t="shared" si="5"/>
        <v>0.16500000000000001</v>
      </c>
      <c r="AC16" s="560">
        <f t="shared" si="6"/>
        <v>9.5857491796402738E-2</v>
      </c>
      <c r="AD16" s="561">
        <f t="shared" si="7"/>
        <v>0.58095449573577418</v>
      </c>
      <c r="AE16" s="601">
        <f t="shared" si="8"/>
        <v>36846.36363636364</v>
      </c>
      <c r="AF16" s="601">
        <f t="shared" si="9"/>
        <v>6079.6500000000005</v>
      </c>
      <c r="AG16" s="601">
        <f t="shared" si="10"/>
        <v>3532</v>
      </c>
      <c r="AH16" s="602">
        <f>AF16/$AI$4</f>
        <v>506.63750000000005</v>
      </c>
      <c r="AI16" s="601">
        <f>AH16*$AI$5</f>
        <v>5066.375</v>
      </c>
      <c r="AJ16" s="601">
        <f t="shared" si="13"/>
        <v>3532</v>
      </c>
      <c r="AK16" s="546">
        <f>AJ16/AI16</f>
        <v>0.69714539488292915</v>
      </c>
      <c r="AL16" s="427">
        <f t="shared" si="15"/>
        <v>-1534.375</v>
      </c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3:29" ht="4.5" customHeight="1" x14ac:dyDescent="0.25">
      <c r="C17" s="64"/>
      <c r="D17" s="65"/>
      <c r="AB17" s="121"/>
      <c r="AC17" s="121"/>
    </row>
    <row r="18" spans="3:29" ht="17.25" hidden="1" x14ac:dyDescent="0.3">
      <c r="G18" s="16" t="s">
        <v>16</v>
      </c>
      <c r="H18" s="128" t="e">
        <f>+REMA!#REF!</f>
        <v>#REF!</v>
      </c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848">
        <v>4869.7102613939387</v>
      </c>
      <c r="W18" s="129" t="e">
        <f>IF(V18=0,0,+H18/V18)</f>
        <v>#REF!</v>
      </c>
      <c r="X18" s="119">
        <v>0.22</v>
      </c>
      <c r="Y18" s="70">
        <f t="shared" ref="Y18:Y21" si="17">+X18*0.6</f>
        <v>0.13200000000000001</v>
      </c>
      <c r="Z18" s="130" t="e">
        <f>IF(+W18/Y18&gt;1,1,+W18/Y18)</f>
        <v>#REF!</v>
      </c>
      <c r="AA18" s="71" t="e">
        <f t="shared" ref="AA18:AA21" si="18">+Z18*5.21/100</f>
        <v>#REF!</v>
      </c>
      <c r="AB18" s="121"/>
      <c r="AC18" s="122"/>
    </row>
    <row r="19" spans="3:29" ht="17.25" hidden="1" x14ac:dyDescent="0.3">
      <c r="G19" s="19" t="s">
        <v>17</v>
      </c>
      <c r="H19" s="113" t="e">
        <f>+REMA!#REF!</f>
        <v>#REF!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846">
        <v>3869.8163636363638</v>
      </c>
      <c r="W19" s="131" t="e">
        <f>IF(V19=0,0,+H19/V19)</f>
        <v>#REF!</v>
      </c>
      <c r="X19" s="123">
        <v>0.22</v>
      </c>
      <c r="Y19" s="76">
        <f t="shared" si="17"/>
        <v>0.13200000000000001</v>
      </c>
      <c r="Z19" s="132" t="e">
        <f>IF(+W19/Y19&gt;1,1,+W19/Y19)</f>
        <v>#REF!</v>
      </c>
      <c r="AA19" s="77" t="e">
        <f t="shared" si="18"/>
        <v>#REF!</v>
      </c>
      <c r="AB19" s="121"/>
      <c r="AC19" s="122"/>
    </row>
    <row r="20" spans="3:29" ht="17.25" hidden="1" x14ac:dyDescent="0.3">
      <c r="G20" s="28" t="s">
        <v>18</v>
      </c>
      <c r="H20" s="113" t="e">
        <f>+REMA!#REF!</f>
        <v>#REF!</v>
      </c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846">
        <v>675.03217484334436</v>
      </c>
      <c r="W20" s="131" t="e">
        <f>IF(V20=0,0,+H20/V20)</f>
        <v>#REF!</v>
      </c>
      <c r="X20" s="123">
        <v>0.22</v>
      </c>
      <c r="Y20" s="76">
        <f t="shared" si="17"/>
        <v>0.13200000000000001</v>
      </c>
      <c r="Z20" s="132" t="e">
        <f>IF(+W20/Y20&gt;1,1,+W20/Y20)</f>
        <v>#REF!</v>
      </c>
      <c r="AA20" s="77" t="e">
        <f t="shared" si="18"/>
        <v>#REF!</v>
      </c>
    </row>
    <row r="21" spans="3:29" ht="18" hidden="1" thickBot="1" x14ac:dyDescent="0.35">
      <c r="G21" s="27" t="s">
        <v>19</v>
      </c>
      <c r="H21" s="81" t="e">
        <f>+REMA!#REF!</f>
        <v>#REF!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514">
        <v>5765.9438630908926</v>
      </c>
      <c r="W21" s="125" t="e">
        <f>IF(V21=0,0,+H21/V21)</f>
        <v>#REF!</v>
      </c>
      <c r="X21" s="126">
        <v>0.22</v>
      </c>
      <c r="Y21" s="82">
        <f t="shared" si="17"/>
        <v>0.13200000000000001</v>
      </c>
      <c r="Z21" s="127" t="e">
        <f>IF(+W21/Y21&gt;1,1,+W21/Y21)</f>
        <v>#REF!</v>
      </c>
      <c r="AA21" s="83" t="e">
        <f t="shared" si="18"/>
        <v>#REF!</v>
      </c>
    </row>
    <row r="22" spans="3:29" ht="4.5" hidden="1" customHeight="1" x14ac:dyDescent="0.25"/>
    <row r="23" spans="3:29" ht="18" hidden="1" thickBot="1" x14ac:dyDescent="0.35">
      <c r="G23" s="29" t="s">
        <v>20</v>
      </c>
      <c r="H23" s="84" t="e">
        <f>SUM(H9:H21)</f>
        <v>#REF!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9">
        <f>SUM(V9:V21)</f>
        <v>88873.229935691823</v>
      </c>
      <c r="W23" s="133" t="e">
        <f>IF(V23=0,0,+H23/V23)</f>
        <v>#REF!</v>
      </c>
    </row>
    <row r="24" spans="3:29" ht="15.75" thickBot="1" x14ac:dyDescent="0.3"/>
    <row r="25" spans="3:29" ht="18" thickBot="1" x14ac:dyDescent="0.35">
      <c r="G25" s="749" t="s">
        <v>20</v>
      </c>
      <c r="N25" s="6"/>
      <c r="O25" s="6"/>
      <c r="P25" s="6"/>
      <c r="Q25" s="6"/>
      <c r="R25" s="6"/>
      <c r="S25" s="6"/>
      <c r="T25" s="6"/>
      <c r="U25" s="6"/>
      <c r="V25" s="850"/>
    </row>
    <row r="26" spans="3:29" ht="15.75" thickBot="1" x14ac:dyDescent="0.3">
      <c r="G26" s="6"/>
      <c r="H26" s="6"/>
      <c r="N26" s="6"/>
      <c r="O26" s="6"/>
      <c r="P26" s="6"/>
      <c r="Q26" s="6"/>
      <c r="R26" s="6"/>
      <c r="S26" s="6"/>
      <c r="T26" s="6"/>
      <c r="U26" s="6"/>
      <c r="V26" s="850"/>
    </row>
    <row r="27" spans="3:29" ht="18" thickBot="1" x14ac:dyDescent="0.35">
      <c r="G27" s="749" t="s">
        <v>501</v>
      </c>
      <c r="N27" s="6"/>
      <c r="O27" s="6"/>
      <c r="P27" s="6"/>
      <c r="Q27" s="6"/>
      <c r="R27" s="6"/>
      <c r="S27" s="6"/>
      <c r="T27" s="6"/>
      <c r="U27" s="6"/>
      <c r="V27" s="850"/>
    </row>
    <row r="28" spans="3:29" x14ac:dyDescent="0.25">
      <c r="N28" s="6"/>
      <c r="O28" s="6"/>
      <c r="P28" s="6"/>
      <c r="Q28" s="6"/>
      <c r="R28" s="6"/>
      <c r="S28" s="6"/>
      <c r="T28" s="6"/>
      <c r="U28" s="6"/>
      <c r="V28" s="850"/>
    </row>
    <row r="29" spans="3:29" x14ac:dyDescent="0.25">
      <c r="N29" s="6"/>
      <c r="O29" s="6"/>
      <c r="P29" s="6"/>
      <c r="Q29" s="6"/>
      <c r="R29" s="6"/>
      <c r="S29" s="6"/>
      <c r="T29" s="6"/>
      <c r="U29" s="6"/>
      <c r="V29" s="850"/>
    </row>
    <row r="30" spans="3:29" x14ac:dyDescent="0.25">
      <c r="N30" s="6"/>
      <c r="O30" s="6"/>
      <c r="P30" s="6"/>
      <c r="Q30" s="6"/>
      <c r="R30" s="6"/>
      <c r="S30" s="6"/>
      <c r="T30" s="6"/>
      <c r="U30" s="6"/>
      <c r="V30" s="850"/>
    </row>
    <row r="31" spans="3:29" x14ac:dyDescent="0.25">
      <c r="N31" s="6"/>
      <c r="O31" s="6"/>
      <c r="P31" s="6"/>
      <c r="Q31" s="6"/>
      <c r="R31" s="6"/>
      <c r="S31" s="6"/>
      <c r="T31" s="6"/>
      <c r="U31" s="6"/>
      <c r="V31" s="850"/>
    </row>
  </sheetData>
  <autoFilter ref="G4:G16" xr:uid="{00000000-0001-0000-06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577E-83A4-4F07-BF5B-5D25F5FB4E0D}">
  <sheetPr codeName="Hoja9">
    <tabColor rgb="FF00B050"/>
  </sheetPr>
  <dimension ref="A1:AZ21"/>
  <sheetViews>
    <sheetView zoomScale="60" zoomScaleNormal="60" workbookViewId="0">
      <selection activeCell="R9" sqref="R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55.42578125" style="5" bestFit="1" customWidth="1"/>
    <col min="8" max="8" width="8" style="5" customWidth="1"/>
    <col min="9" max="10" width="7" style="5" bestFit="1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1" width="11.7109375" style="57" customWidth="1"/>
    <col min="42" max="42" width="13.140625" style="6" bestFit="1" customWidth="1"/>
    <col min="43" max="43" width="17.85546875" style="5" bestFit="1" customWidth="1"/>
    <col min="44" max="45" width="14" style="5" customWidth="1"/>
    <col min="46" max="46" width="13.7109375" style="5" bestFit="1" customWidth="1"/>
    <col min="47" max="47" width="7.140625" style="5" bestFit="1" customWidth="1"/>
    <col min="48" max="48" width="6.140625" style="5" bestFit="1" customWidth="1"/>
    <col min="49" max="49" width="5.140625" style="5" bestFit="1" customWidth="1"/>
    <col min="50" max="51" width="7.140625" style="5" bestFit="1" customWidth="1"/>
    <col min="52" max="52" width="15.140625" style="5" customWidth="1"/>
    <col min="53" max="16384" width="11.42578125" style="5"/>
  </cols>
  <sheetData>
    <row r="1" spans="1:52" s="2" customFormat="1" ht="21" customHeight="1" x14ac:dyDescent="0.45">
      <c r="E1" s="3"/>
      <c r="F1" s="100"/>
      <c r="G1" s="902" t="s">
        <v>0</v>
      </c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56"/>
      <c r="AC1" s="56"/>
      <c r="AH1" s="56"/>
      <c r="AI1" s="134"/>
      <c r="AJ1" s="56"/>
      <c r="AK1" s="56"/>
      <c r="AL1" s="134"/>
      <c r="AM1" s="134"/>
      <c r="AN1" s="56"/>
      <c r="AO1" s="56"/>
      <c r="AP1" s="3"/>
    </row>
    <row r="2" spans="1:52" s="2" customFormat="1" ht="28.5" x14ac:dyDescent="0.45">
      <c r="E2" s="3"/>
      <c r="F2" s="100"/>
      <c r="G2" s="903" t="s">
        <v>2</v>
      </c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5" t="str">
        <f>+NOMBRE!B7</f>
        <v>ENERO - OCTUBRE 2024</v>
      </c>
      <c r="Y2" s="905"/>
      <c r="Z2" s="905"/>
      <c r="AA2" s="905"/>
      <c r="AB2" s="56"/>
      <c r="AC2" s="56"/>
      <c r="AH2" s="56"/>
      <c r="AI2" s="134"/>
      <c r="AJ2" s="56"/>
      <c r="AK2" s="56"/>
      <c r="AL2" s="134"/>
      <c r="AM2" s="134"/>
      <c r="AN2" s="56"/>
      <c r="AO2" s="56"/>
      <c r="AP2" s="3"/>
    </row>
    <row r="3" spans="1:52" ht="3" customHeight="1" thickBot="1" x14ac:dyDescent="0.3"/>
    <row r="4" spans="1:52" ht="15" customHeight="1" x14ac:dyDescent="0.25">
      <c r="G4" s="58"/>
      <c r="H4" s="906" t="s">
        <v>515</v>
      </c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07"/>
      <c r="W4" s="907"/>
      <c r="X4" s="907"/>
      <c r="Y4" s="907"/>
      <c r="Z4" s="907"/>
      <c r="AA4" s="908"/>
      <c r="AB4" s="5"/>
      <c r="AC4" s="5"/>
      <c r="AE4" s="6"/>
      <c r="AH4" s="87" t="s">
        <v>45</v>
      </c>
      <c r="AI4" s="88">
        <v>12</v>
      </c>
      <c r="AJ4" s="6"/>
      <c r="AK4" s="6"/>
      <c r="AL4" s="5"/>
      <c r="AQ4" s="135"/>
    </row>
    <row r="5" spans="1:52" ht="23.25" customHeight="1" thickBot="1" x14ac:dyDescent="0.3">
      <c r="G5" s="58"/>
      <c r="H5" s="909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1"/>
      <c r="AB5" s="5"/>
      <c r="AC5" s="5"/>
      <c r="AE5" s="6"/>
      <c r="AH5" s="87" t="s">
        <v>46</v>
      </c>
      <c r="AI5" s="88">
        <f>meta3!AB2</f>
        <v>10</v>
      </c>
      <c r="AJ5" s="6"/>
      <c r="AK5" s="5"/>
      <c r="AL5" s="5"/>
      <c r="AR5" s="136" t="s">
        <v>86</v>
      </c>
      <c r="AS5" s="136"/>
      <c r="AT5" s="136" t="s">
        <v>87</v>
      </c>
    </row>
    <row r="6" spans="1:52" ht="51.75" thickBot="1" x14ac:dyDescent="0.3">
      <c r="G6" s="58"/>
      <c r="H6" s="933" t="s">
        <v>4</v>
      </c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5"/>
      <c r="V6" s="8" t="s">
        <v>5</v>
      </c>
      <c r="W6" s="912" t="s">
        <v>6</v>
      </c>
      <c r="X6" s="952">
        <f>+NOMBRE!$B$9</f>
        <v>2024</v>
      </c>
      <c r="Y6" s="953"/>
      <c r="Z6" s="916" t="s">
        <v>7</v>
      </c>
      <c r="AA6" s="917"/>
      <c r="AB6" s="89" t="s">
        <v>47</v>
      </c>
      <c r="AC6" s="89" t="s">
        <v>48</v>
      </c>
      <c r="AD6" s="89" t="s">
        <v>49</v>
      </c>
      <c r="AE6" s="89" t="s">
        <v>50</v>
      </c>
      <c r="AF6" s="89" t="s">
        <v>51</v>
      </c>
      <c r="AG6" s="89" t="s">
        <v>52</v>
      </c>
      <c r="AH6" s="89" t="s">
        <v>45</v>
      </c>
      <c r="AI6" s="89" t="s">
        <v>53</v>
      </c>
      <c r="AJ6" s="89" t="s">
        <v>54</v>
      </c>
      <c r="AK6" s="89" t="s">
        <v>55</v>
      </c>
      <c r="AL6" s="89" t="s">
        <v>56</v>
      </c>
      <c r="AQ6" s="951"/>
      <c r="AR6" s="951"/>
      <c r="AS6" s="951"/>
      <c r="AT6" s="951"/>
    </row>
    <row r="7" spans="1:52" ht="85.5" customHeight="1" thickBot="1" x14ac:dyDescent="0.3">
      <c r="G7" s="58"/>
      <c r="H7" s="954" t="s">
        <v>465</v>
      </c>
      <c r="I7" s="955"/>
      <c r="J7" s="955"/>
      <c r="K7" s="955"/>
      <c r="L7" s="955"/>
      <c r="M7" s="955"/>
      <c r="N7" s="955"/>
      <c r="O7" s="955"/>
      <c r="P7" s="955"/>
      <c r="Q7" s="955"/>
      <c r="R7" s="955"/>
      <c r="S7" s="955"/>
      <c r="T7" s="955"/>
      <c r="U7" s="956"/>
      <c r="V7" s="137" t="s">
        <v>89</v>
      </c>
      <c r="W7" s="913"/>
      <c r="X7" s="12" t="s">
        <v>11</v>
      </c>
      <c r="Y7" s="12" t="s">
        <v>463</v>
      </c>
      <c r="Z7" s="14" t="s">
        <v>13</v>
      </c>
      <c r="AA7" s="14" t="s">
        <v>502</v>
      </c>
      <c r="AB7" s="90" t="s">
        <v>57</v>
      </c>
      <c r="AC7" s="90" t="s">
        <v>58</v>
      </c>
      <c r="AD7" s="90" t="s">
        <v>59</v>
      </c>
      <c r="AE7" s="91" t="s">
        <v>60</v>
      </c>
      <c r="AF7" s="91" t="s">
        <v>61</v>
      </c>
      <c r="AG7" s="528" t="s">
        <v>430</v>
      </c>
      <c r="AH7" s="91" t="s">
        <v>63</v>
      </c>
      <c r="AI7" s="91" t="s">
        <v>64</v>
      </c>
      <c r="AJ7" s="91" t="s">
        <v>65</v>
      </c>
      <c r="AK7" s="92" t="s">
        <v>66</v>
      </c>
      <c r="AL7" s="92" t="s">
        <v>67</v>
      </c>
      <c r="AQ7" s="316" t="s">
        <v>489</v>
      </c>
      <c r="AR7" s="316" t="s">
        <v>490</v>
      </c>
      <c r="AS7" s="316" t="s">
        <v>496</v>
      </c>
      <c r="AT7" s="316" t="s">
        <v>491</v>
      </c>
      <c r="AV7" s="139"/>
      <c r="AW7" s="140"/>
      <c r="AX7" s="140"/>
      <c r="AY7" s="140"/>
      <c r="AZ7" s="140"/>
    </row>
    <row r="8" spans="1:52" ht="85.5" customHeight="1" thickBot="1" x14ac:dyDescent="0.3">
      <c r="G8" s="603" t="s">
        <v>431</v>
      </c>
      <c r="H8" s="436"/>
      <c r="I8" s="420" t="s">
        <v>189</v>
      </c>
      <c r="J8" s="420" t="s">
        <v>190</v>
      </c>
      <c r="K8" s="420" t="s">
        <v>191</v>
      </c>
      <c r="L8" s="420" t="s">
        <v>192</v>
      </c>
      <c r="M8" s="420" t="s">
        <v>193</v>
      </c>
      <c r="N8" s="420" t="s">
        <v>194</v>
      </c>
      <c r="O8" s="420" t="s">
        <v>195</v>
      </c>
      <c r="P8" s="420" t="s">
        <v>196</v>
      </c>
      <c r="Q8" s="420" t="s">
        <v>423</v>
      </c>
      <c r="R8" s="420" t="s">
        <v>198</v>
      </c>
      <c r="S8" s="420" t="s">
        <v>199</v>
      </c>
      <c r="T8" s="420" t="s">
        <v>200</v>
      </c>
      <c r="U8" s="423" t="s">
        <v>201</v>
      </c>
      <c r="V8" s="443"/>
      <c r="W8" s="438"/>
      <c r="X8" s="677">
        <f>indicadores!E23</f>
        <v>0.1119</v>
      </c>
      <c r="Y8" s="480">
        <f>indicadores!$D$54</f>
        <v>0.7</v>
      </c>
      <c r="Z8" s="439"/>
      <c r="AA8" s="750">
        <v>3.3</v>
      </c>
      <c r="AB8" s="93" t="s">
        <v>68</v>
      </c>
      <c r="AC8" s="93" t="s">
        <v>69</v>
      </c>
      <c r="AD8" s="93" t="s">
        <v>70</v>
      </c>
      <c r="AE8" s="93" t="s">
        <v>71</v>
      </c>
      <c r="AF8" s="93" t="s">
        <v>72</v>
      </c>
      <c r="AG8" s="93" t="s">
        <v>73</v>
      </c>
      <c r="AH8" s="93" t="s">
        <v>74</v>
      </c>
      <c r="AI8" s="93" t="s">
        <v>75</v>
      </c>
      <c r="AJ8" s="93" t="s">
        <v>76</v>
      </c>
      <c r="AK8" s="93" t="s">
        <v>77</v>
      </c>
      <c r="AL8" s="93" t="s">
        <v>78</v>
      </c>
      <c r="AQ8" s="705"/>
      <c r="AR8" s="705"/>
      <c r="AS8" s="705"/>
      <c r="AT8" s="713" t="s">
        <v>497</v>
      </c>
      <c r="AV8" s="139"/>
      <c r="AW8" s="140"/>
      <c r="AX8" s="140"/>
      <c r="AY8" s="140"/>
      <c r="AZ8" s="140"/>
    </row>
    <row r="9" spans="1:52" ht="22.5" customHeight="1" x14ac:dyDescent="0.3">
      <c r="A9"/>
      <c r="B9"/>
      <c r="C9" s="64"/>
      <c r="D9" s="65"/>
      <c r="E9" s="66"/>
      <c r="F9" s="105"/>
      <c r="G9" s="19" t="s">
        <v>432</v>
      </c>
      <c r="H9" s="68"/>
      <c r="I9" s="68">
        <f>+REMA!E6</f>
        <v>55</v>
      </c>
      <c r="J9" s="68">
        <f>+REMA!F6</f>
        <v>19</v>
      </c>
      <c r="K9" s="68">
        <f>+REMA!G6</f>
        <v>26</v>
      </c>
      <c r="L9" s="68">
        <f>+REMA!H6</f>
        <v>56</v>
      </c>
      <c r="M9" s="68">
        <f>+REMA!I6</f>
        <v>102</v>
      </c>
      <c r="N9" s="68">
        <f>+REMA!J6</f>
        <v>110</v>
      </c>
      <c r="O9" s="68">
        <f>+REMA!K6</f>
        <v>99</v>
      </c>
      <c r="P9" s="68">
        <f>+REMA!L6</f>
        <v>24</v>
      </c>
      <c r="Q9" s="68">
        <f>+REMA!M6</f>
        <v>43</v>
      </c>
      <c r="R9" s="68">
        <f>+REMA!N6</f>
        <v>154</v>
      </c>
      <c r="S9" s="68">
        <f>+REMA!O6</f>
        <v>0</v>
      </c>
      <c r="T9" s="68">
        <f>+REMA!P6</f>
        <v>0</v>
      </c>
      <c r="U9" s="473">
        <f>SUM(I9:T9)</f>
        <v>688</v>
      </c>
      <c r="V9" s="68">
        <f>AT9</f>
        <v>11420.214999999998</v>
      </c>
      <c r="W9" s="503">
        <f>IF(V9=0,0,+U9/V9)</f>
        <v>6.0244049696087168E-2</v>
      </c>
      <c r="X9" s="516">
        <f>$X$8</f>
        <v>0.1119</v>
      </c>
      <c r="Y9" s="37">
        <f>+X9*$Y$8</f>
        <v>7.8329999999999997E-2</v>
      </c>
      <c r="Z9" s="109">
        <f t="shared" ref="Z9:Z16" si="0">IF(+W9/Y9&gt;1,1,+W9/Y9)</f>
        <v>0.7691057027459105</v>
      </c>
      <c r="AA9" s="109">
        <f>+Z9*$AA$8/100</f>
        <v>2.5380488190615048E-2</v>
      </c>
      <c r="AB9" s="144">
        <f>X9</f>
        <v>0.1119</v>
      </c>
      <c r="AC9" s="144">
        <f>(AG9/AE9)</f>
        <v>6.0244049696087168E-2</v>
      </c>
      <c r="AD9" s="145">
        <f>AC9/AB9</f>
        <v>0.53837399192213731</v>
      </c>
      <c r="AE9" s="96">
        <f>V9</f>
        <v>11420.214999999998</v>
      </c>
      <c r="AF9" s="97">
        <f>AE9*AB9</f>
        <v>1277.9220584999998</v>
      </c>
      <c r="AG9" s="96">
        <f>U9</f>
        <v>688</v>
      </c>
      <c r="AH9" s="97">
        <f>AF9/$AI$4</f>
        <v>106.49350487499999</v>
      </c>
      <c r="AI9" s="97">
        <f>AH9*$AI$5</f>
        <v>1064.9350487499999</v>
      </c>
      <c r="AJ9" s="97">
        <f>U9</f>
        <v>688</v>
      </c>
      <c r="AK9" s="98">
        <f>AJ9/AI9</f>
        <v>0.64604879030656481</v>
      </c>
      <c r="AL9" s="427">
        <f>(AI9-AJ9)*-1</f>
        <v>-376.93504874999985</v>
      </c>
      <c r="AP9" s="141"/>
      <c r="AQ9" s="714">
        <f>SUM('[1]INSCRITA PERCAPITA 2024'!$CF$34:$CN$34)</f>
        <v>12283.214999999998</v>
      </c>
      <c r="AR9" s="712">
        <f>REMP!G6</f>
        <v>763</v>
      </c>
      <c r="AS9" s="712">
        <f>REMP!M6</f>
        <v>100</v>
      </c>
      <c r="AT9" s="712">
        <f>+AQ9-AR9-AS9</f>
        <v>11420.214999999998</v>
      </c>
      <c r="AU9" s="15"/>
      <c r="AV9" s="15"/>
      <c r="AW9" s="15"/>
      <c r="AX9" s="15"/>
      <c r="AY9" s="15"/>
    </row>
    <row r="10" spans="1:52" ht="15" customHeight="1" x14ac:dyDescent="0.3">
      <c r="A10"/>
      <c r="B10"/>
      <c r="C10" s="64"/>
      <c r="D10" s="65"/>
      <c r="E10" s="66"/>
      <c r="F10" s="105"/>
      <c r="G10" s="19" t="s">
        <v>433</v>
      </c>
      <c r="H10" s="73"/>
      <c r="I10" s="73">
        <f>+REMA!E7</f>
        <v>52</v>
      </c>
      <c r="J10" s="73">
        <f>+REMA!F7</f>
        <v>28</v>
      </c>
      <c r="K10" s="73">
        <f>+REMA!G7</f>
        <v>23</v>
      </c>
      <c r="L10" s="73">
        <f>+REMA!H7</f>
        <v>104</v>
      </c>
      <c r="M10" s="73">
        <f>+REMA!I7</f>
        <v>72</v>
      </c>
      <c r="N10" s="73">
        <f>+REMA!J7</f>
        <v>51</v>
      </c>
      <c r="O10" s="73">
        <f>+REMA!K7</f>
        <v>139</v>
      </c>
      <c r="P10" s="73">
        <f>+REMA!L7</f>
        <v>164</v>
      </c>
      <c r="Q10" s="73">
        <f>+REMA!M7</f>
        <v>107</v>
      </c>
      <c r="R10" s="73">
        <f>+REMA!N7</f>
        <v>71</v>
      </c>
      <c r="S10" s="73">
        <f>+REMA!O7</f>
        <v>0</v>
      </c>
      <c r="T10" s="73">
        <f>+REMA!P7</f>
        <v>0</v>
      </c>
      <c r="U10" s="474">
        <f t="shared" ref="U10:U15" si="1">SUM(I10:T10)</f>
        <v>811</v>
      </c>
      <c r="V10" s="73">
        <f>AT10</f>
        <v>7261</v>
      </c>
      <c r="W10" s="504">
        <f t="shared" ref="W10:W16" si="2">IF(V10=0,0,+U10/V10)</f>
        <v>0.11169260432447321</v>
      </c>
      <c r="X10" s="517">
        <f t="shared" ref="X10:X16" si="3">$X$8</f>
        <v>0.1119</v>
      </c>
      <c r="Y10" s="42">
        <f t="shared" ref="Y10:Y16" si="4">+X10*$Y$8</f>
        <v>7.8329999999999997E-2</v>
      </c>
      <c r="Z10" s="112">
        <f t="shared" si="0"/>
        <v>1</v>
      </c>
      <c r="AA10" s="112">
        <f t="shared" ref="AA10:AA16" si="5">+Z10*$AA$8/100</f>
        <v>3.3000000000000002E-2</v>
      </c>
      <c r="AB10" s="144">
        <f t="shared" ref="AB10:AB16" si="6">X10</f>
        <v>0.1119</v>
      </c>
      <c r="AC10" s="144">
        <f t="shared" ref="AC10:AC16" si="7">(AG10/AE10)</f>
        <v>0.11169260432447321</v>
      </c>
      <c r="AD10" s="145">
        <f t="shared" ref="AD10:AD16" si="8">AC10/AB10</f>
        <v>0.99814659807393402</v>
      </c>
      <c r="AE10" s="96">
        <f t="shared" ref="AE10:AE16" si="9">V10</f>
        <v>7261</v>
      </c>
      <c r="AF10" s="97">
        <f t="shared" ref="AF10:AF16" si="10">AE10*AB10</f>
        <v>812.5059</v>
      </c>
      <c r="AG10" s="96">
        <f t="shared" ref="AG10:AG16" si="11">U10</f>
        <v>811</v>
      </c>
      <c r="AH10" s="97">
        <f t="shared" ref="AH10:AH15" si="12">AF10/$AI$4</f>
        <v>67.708825000000004</v>
      </c>
      <c r="AI10" s="97">
        <f t="shared" ref="AI10:AI16" si="13">AH10*$AI$5</f>
        <v>677.08825000000002</v>
      </c>
      <c r="AJ10" s="97">
        <f t="shared" ref="AJ10:AJ16" si="14">U10</f>
        <v>811</v>
      </c>
      <c r="AK10" s="98">
        <f t="shared" ref="AK10:AK16" si="15">AJ10/AI10</f>
        <v>1.1977759176887208</v>
      </c>
      <c r="AL10" s="427">
        <f t="shared" ref="AL10:AL16" si="16">(AI10-AJ10)*-1</f>
        <v>133.91174999999998</v>
      </c>
      <c r="AP10" s="141"/>
      <c r="AQ10" s="714">
        <f>SUM('[1]INSCRITA PERCAPITA 2024'!$CF$35:$CN$35)</f>
        <v>7850</v>
      </c>
      <c r="AR10" s="712">
        <f>REMP!G7</f>
        <v>500</v>
      </c>
      <c r="AS10" s="712">
        <f>REMP!M7</f>
        <v>89</v>
      </c>
      <c r="AT10" s="712">
        <f t="shared" ref="AT10:AT15" si="17">+AQ10-AR10-AS10</f>
        <v>7261</v>
      </c>
      <c r="AU10" s="15"/>
      <c r="AV10" s="15"/>
      <c r="AW10" s="15"/>
      <c r="AX10" s="15"/>
      <c r="AY10" s="15"/>
    </row>
    <row r="11" spans="1:52" ht="15" customHeight="1" x14ac:dyDescent="0.3">
      <c r="A11"/>
      <c r="B11"/>
      <c r="C11" s="64"/>
      <c r="D11" s="65"/>
      <c r="E11" s="66"/>
      <c r="F11" s="105"/>
      <c r="G11" s="19" t="s">
        <v>434</v>
      </c>
      <c r="H11" s="73"/>
      <c r="I11" s="73">
        <f>+REMA!E8</f>
        <v>53</v>
      </c>
      <c r="J11" s="73">
        <f>+REMA!F8</f>
        <v>49</v>
      </c>
      <c r="K11" s="73">
        <f>+REMA!G8</f>
        <v>57</v>
      </c>
      <c r="L11" s="73">
        <f>+REMA!H8</f>
        <v>51</v>
      </c>
      <c r="M11" s="73">
        <f>+REMA!I8</f>
        <v>102</v>
      </c>
      <c r="N11" s="73">
        <f>+REMA!J8</f>
        <v>123</v>
      </c>
      <c r="O11" s="73">
        <f>+REMA!K8</f>
        <v>76</v>
      </c>
      <c r="P11" s="73">
        <f>+REMA!L8</f>
        <v>68</v>
      </c>
      <c r="Q11" s="73">
        <f>+REMA!M8</f>
        <v>43</v>
      </c>
      <c r="R11" s="73">
        <f>+REMA!N8</f>
        <v>70</v>
      </c>
      <c r="S11" s="73">
        <f>+REMA!O8</f>
        <v>0</v>
      </c>
      <c r="T11" s="73">
        <f>+REMA!P8</f>
        <v>0</v>
      </c>
      <c r="U11" s="474">
        <f t="shared" si="1"/>
        <v>692</v>
      </c>
      <c r="V11" s="73">
        <f t="shared" ref="V11:V15" si="18">AT11</f>
        <v>6343</v>
      </c>
      <c r="W11" s="504">
        <f t="shared" si="2"/>
        <v>0.10909664196752325</v>
      </c>
      <c r="X11" s="517">
        <f t="shared" si="3"/>
        <v>0.1119</v>
      </c>
      <c r="Y11" s="42">
        <f t="shared" si="4"/>
        <v>7.8329999999999997E-2</v>
      </c>
      <c r="Z11" s="112">
        <f t="shared" si="0"/>
        <v>1</v>
      </c>
      <c r="AA11" s="112">
        <f t="shared" si="5"/>
        <v>3.3000000000000002E-2</v>
      </c>
      <c r="AB11" s="144">
        <f t="shared" si="6"/>
        <v>0.1119</v>
      </c>
      <c r="AC11" s="144">
        <f t="shared" si="7"/>
        <v>0.10909664196752325</v>
      </c>
      <c r="AD11" s="145">
        <f t="shared" si="8"/>
        <v>0.97494764939699063</v>
      </c>
      <c r="AE11" s="96">
        <f t="shared" si="9"/>
        <v>6343</v>
      </c>
      <c r="AF11" s="97">
        <f t="shared" si="10"/>
        <v>709.7817</v>
      </c>
      <c r="AG11" s="96">
        <f t="shared" si="11"/>
        <v>692</v>
      </c>
      <c r="AH11" s="97">
        <f t="shared" si="12"/>
        <v>59.148474999999998</v>
      </c>
      <c r="AI11" s="97">
        <f t="shared" si="13"/>
        <v>591.48474999999996</v>
      </c>
      <c r="AJ11" s="97">
        <f t="shared" si="14"/>
        <v>692</v>
      </c>
      <c r="AK11" s="98">
        <f t="shared" si="15"/>
        <v>1.1699371792763889</v>
      </c>
      <c r="AL11" s="427">
        <f t="shared" si="16"/>
        <v>100.51525000000004</v>
      </c>
      <c r="AP11" s="141"/>
      <c r="AQ11" s="714">
        <f>SUM('[1]INSCRITA PERCAPITA 2024'!$CF$38:$CN$38)</f>
        <v>6728</v>
      </c>
      <c r="AR11" s="712">
        <f>REMP!G8</f>
        <v>304</v>
      </c>
      <c r="AS11" s="712">
        <f>REMP!M8</f>
        <v>81</v>
      </c>
      <c r="AT11" s="712">
        <f t="shared" si="17"/>
        <v>6343</v>
      </c>
      <c r="AU11" s="15"/>
      <c r="AV11" s="15"/>
      <c r="AW11" s="15"/>
      <c r="AX11" s="15"/>
      <c r="AY11" s="15"/>
    </row>
    <row r="12" spans="1:52" ht="15" customHeight="1" x14ac:dyDescent="0.3">
      <c r="A12"/>
      <c r="B12"/>
      <c r="C12" s="64"/>
      <c r="D12" s="65"/>
      <c r="E12" s="66"/>
      <c r="F12" s="105"/>
      <c r="G12" s="19" t="s">
        <v>435</v>
      </c>
      <c r="H12" s="73"/>
      <c r="I12" s="73">
        <f>+REMA!E9</f>
        <v>125</v>
      </c>
      <c r="J12" s="73">
        <f>+REMA!F9</f>
        <v>67</v>
      </c>
      <c r="K12" s="73">
        <f>+REMA!G9</f>
        <v>41</v>
      </c>
      <c r="L12" s="73">
        <f>+REMA!H9</f>
        <v>37</v>
      </c>
      <c r="M12" s="73">
        <f>+REMA!I9</f>
        <v>34</v>
      </c>
      <c r="N12" s="73">
        <f>+REMA!J9</f>
        <v>30</v>
      </c>
      <c r="O12" s="73">
        <f>+REMA!K9</f>
        <v>31</v>
      </c>
      <c r="P12" s="73">
        <f>+REMA!L9</f>
        <v>82</v>
      </c>
      <c r="Q12" s="73">
        <f>+REMA!M9</f>
        <v>39</v>
      </c>
      <c r="R12" s="73">
        <f>+REMA!N9</f>
        <v>80</v>
      </c>
      <c r="S12" s="73">
        <f>+REMA!O9</f>
        <v>0</v>
      </c>
      <c r="T12" s="73">
        <f>+REMA!P9</f>
        <v>0</v>
      </c>
      <c r="U12" s="474">
        <f t="shared" si="1"/>
        <v>566</v>
      </c>
      <c r="V12" s="73">
        <f t="shared" si="18"/>
        <v>5713.6552000000011</v>
      </c>
      <c r="W12" s="504">
        <f t="shared" si="2"/>
        <v>9.9060930383058451E-2</v>
      </c>
      <c r="X12" s="517">
        <f t="shared" si="3"/>
        <v>0.1119</v>
      </c>
      <c r="Y12" s="42">
        <f t="shared" si="4"/>
        <v>7.8329999999999997E-2</v>
      </c>
      <c r="Z12" s="112">
        <f t="shared" si="0"/>
        <v>1</v>
      </c>
      <c r="AA12" s="112">
        <f t="shared" si="5"/>
        <v>3.3000000000000002E-2</v>
      </c>
      <c r="AB12" s="144">
        <f t="shared" si="6"/>
        <v>0.1119</v>
      </c>
      <c r="AC12" s="144">
        <f t="shared" si="7"/>
        <v>9.9060930383058451E-2</v>
      </c>
      <c r="AD12" s="145">
        <f t="shared" si="8"/>
        <v>0.88526300610418629</v>
      </c>
      <c r="AE12" s="96">
        <f t="shared" si="9"/>
        <v>5713.6552000000011</v>
      </c>
      <c r="AF12" s="97">
        <f t="shared" si="10"/>
        <v>639.35801688000015</v>
      </c>
      <c r="AG12" s="96">
        <f t="shared" si="11"/>
        <v>566</v>
      </c>
      <c r="AH12" s="97">
        <f t="shared" si="12"/>
        <v>53.279834740000013</v>
      </c>
      <c r="AI12" s="97">
        <f t="shared" si="13"/>
        <v>532.79834740000013</v>
      </c>
      <c r="AJ12" s="97">
        <f t="shared" si="14"/>
        <v>566</v>
      </c>
      <c r="AK12" s="98">
        <f t="shared" si="15"/>
        <v>1.0623156073250235</v>
      </c>
      <c r="AL12" s="427">
        <f t="shared" si="16"/>
        <v>33.201652599999875</v>
      </c>
      <c r="AP12" s="141"/>
      <c r="AQ12" s="714">
        <f>SUM('[1]INSCRITA PERCAPITA 2024'!$CF$37:$CN$37)</f>
        <v>6306.6552000000011</v>
      </c>
      <c r="AR12" s="712">
        <f>REMP!G9</f>
        <v>512</v>
      </c>
      <c r="AS12" s="712">
        <f>REMP!M9</f>
        <v>81</v>
      </c>
      <c r="AT12" s="712">
        <f t="shared" si="17"/>
        <v>5713.6552000000011</v>
      </c>
      <c r="AU12" s="15"/>
      <c r="AV12" s="15"/>
      <c r="AW12" s="15"/>
      <c r="AX12" s="15"/>
      <c r="AY12" s="15"/>
    </row>
    <row r="13" spans="1:52" ht="15" customHeight="1" x14ac:dyDescent="0.3">
      <c r="A13"/>
      <c r="B13"/>
      <c r="C13" s="64"/>
      <c r="D13" s="65"/>
      <c r="E13" s="66"/>
      <c r="F13" s="105"/>
      <c r="G13" s="19" t="s">
        <v>436</v>
      </c>
      <c r="H13" s="73"/>
      <c r="I13" s="73">
        <f>+REMA!E10</f>
        <v>68</v>
      </c>
      <c r="J13" s="73">
        <f>+REMA!F10</f>
        <v>7</v>
      </c>
      <c r="K13" s="73">
        <f>+REMA!G10</f>
        <v>88</v>
      </c>
      <c r="L13" s="73">
        <f>+REMA!H10</f>
        <v>141</v>
      </c>
      <c r="M13" s="73">
        <f>+REMA!I10</f>
        <v>82</v>
      </c>
      <c r="N13" s="73">
        <f>+REMA!J10</f>
        <v>60</v>
      </c>
      <c r="O13" s="73">
        <f>+REMA!K10</f>
        <v>23</v>
      </c>
      <c r="P13" s="73">
        <f>+REMA!L10</f>
        <v>23</v>
      </c>
      <c r="Q13" s="73">
        <f>+REMA!M10</f>
        <v>33</v>
      </c>
      <c r="R13" s="73">
        <f>+REMA!N10</f>
        <v>34</v>
      </c>
      <c r="S13" s="73">
        <f>+REMA!O10</f>
        <v>0</v>
      </c>
      <c r="T13" s="73">
        <f>+REMA!P10</f>
        <v>0</v>
      </c>
      <c r="U13" s="474">
        <f t="shared" si="1"/>
        <v>559</v>
      </c>
      <c r="V13" s="73">
        <f t="shared" si="18"/>
        <v>5509</v>
      </c>
      <c r="W13" s="504">
        <f t="shared" si="2"/>
        <v>0.10147032129243057</v>
      </c>
      <c r="X13" s="517">
        <f t="shared" si="3"/>
        <v>0.1119</v>
      </c>
      <c r="Y13" s="42">
        <f t="shared" si="4"/>
        <v>7.8329999999999997E-2</v>
      </c>
      <c r="Z13" s="112">
        <f t="shared" si="0"/>
        <v>1</v>
      </c>
      <c r="AA13" s="112">
        <f t="shared" si="5"/>
        <v>3.3000000000000002E-2</v>
      </c>
      <c r="AB13" s="144">
        <f t="shared" si="6"/>
        <v>0.1119</v>
      </c>
      <c r="AC13" s="144">
        <f t="shared" si="7"/>
        <v>0.10147032129243057</v>
      </c>
      <c r="AD13" s="145">
        <f t="shared" si="8"/>
        <v>0.90679464961957612</v>
      </c>
      <c r="AE13" s="96">
        <f t="shared" si="9"/>
        <v>5509</v>
      </c>
      <c r="AF13" s="97">
        <f t="shared" si="10"/>
        <v>616.45709999999997</v>
      </c>
      <c r="AG13" s="96">
        <f t="shared" si="11"/>
        <v>559</v>
      </c>
      <c r="AH13" s="97">
        <f t="shared" si="12"/>
        <v>51.371424999999995</v>
      </c>
      <c r="AI13" s="97">
        <f t="shared" si="13"/>
        <v>513.71424999999999</v>
      </c>
      <c r="AJ13" s="97">
        <f t="shared" si="14"/>
        <v>559</v>
      </c>
      <c r="AK13" s="98">
        <f t="shared" si="15"/>
        <v>1.0881535795434913</v>
      </c>
      <c r="AL13" s="427">
        <f t="shared" si="16"/>
        <v>45.285750000000007</v>
      </c>
      <c r="AP13" s="141"/>
      <c r="AQ13" s="714">
        <f>SUM('[1]INSCRITA PERCAPITA 2024'!$CF$36:$CN$36)</f>
        <v>6118</v>
      </c>
      <c r="AR13" s="712">
        <f>REMP!G10</f>
        <v>529</v>
      </c>
      <c r="AS13" s="712">
        <f>REMP!M10</f>
        <v>80</v>
      </c>
      <c r="AT13" s="712">
        <f t="shared" si="17"/>
        <v>5509</v>
      </c>
      <c r="AU13" s="15"/>
      <c r="AV13" s="15"/>
      <c r="AW13" s="15"/>
      <c r="AX13" s="15"/>
      <c r="AY13" s="15"/>
    </row>
    <row r="14" spans="1:52" ht="15" customHeight="1" x14ac:dyDescent="0.3">
      <c r="A14"/>
      <c r="B14"/>
      <c r="C14" s="64"/>
      <c r="D14" s="65"/>
      <c r="E14" s="66"/>
      <c r="F14" s="105"/>
      <c r="G14" s="19" t="s">
        <v>437</v>
      </c>
      <c r="H14" s="73"/>
      <c r="I14" s="73">
        <f>+REMA!E11</f>
        <v>0</v>
      </c>
      <c r="J14" s="73">
        <f>+REMA!F11</f>
        <v>1</v>
      </c>
      <c r="K14" s="73">
        <f>+REMA!G11</f>
        <v>1</v>
      </c>
      <c r="L14" s="73">
        <f>+REMA!H11</f>
        <v>2</v>
      </c>
      <c r="M14" s="73">
        <f>+REMA!I11</f>
        <v>1</v>
      </c>
      <c r="N14" s="73">
        <f>+REMA!J11</f>
        <v>2</v>
      </c>
      <c r="O14" s="73">
        <f>+REMA!K11</f>
        <v>0</v>
      </c>
      <c r="P14" s="73">
        <f>+REMA!L11</f>
        <v>1</v>
      </c>
      <c r="Q14" s="73">
        <f>+REMA!M11</f>
        <v>0</v>
      </c>
      <c r="R14" s="73">
        <f>+REMA!N11</f>
        <v>1</v>
      </c>
      <c r="S14" s="73">
        <f>+REMA!O11</f>
        <v>0</v>
      </c>
      <c r="T14" s="73">
        <f>+REMA!P11</f>
        <v>0</v>
      </c>
      <c r="U14" s="474">
        <f t="shared" si="1"/>
        <v>9</v>
      </c>
      <c r="V14" s="73">
        <f t="shared" si="18"/>
        <v>145.785</v>
      </c>
      <c r="W14" s="504">
        <f t="shared" si="2"/>
        <v>6.1734746373083654E-2</v>
      </c>
      <c r="X14" s="517">
        <f t="shared" si="3"/>
        <v>0.1119</v>
      </c>
      <c r="Y14" s="42">
        <f t="shared" si="4"/>
        <v>7.8329999999999997E-2</v>
      </c>
      <c r="Z14" s="112">
        <f t="shared" si="0"/>
        <v>0.78813668291949002</v>
      </c>
      <c r="AA14" s="112">
        <f t="shared" si="5"/>
        <v>2.600851053634317E-2</v>
      </c>
      <c r="AB14" s="144">
        <f t="shared" si="6"/>
        <v>0.1119</v>
      </c>
      <c r="AC14" s="144">
        <f t="shared" si="7"/>
        <v>6.1734746373083654E-2</v>
      </c>
      <c r="AD14" s="145">
        <f t="shared" si="8"/>
        <v>0.55169567804364306</v>
      </c>
      <c r="AE14" s="96">
        <f t="shared" si="9"/>
        <v>145.785</v>
      </c>
      <c r="AF14" s="97">
        <f t="shared" si="10"/>
        <v>16.3133415</v>
      </c>
      <c r="AG14" s="96">
        <f t="shared" si="11"/>
        <v>9</v>
      </c>
      <c r="AH14" s="97">
        <f t="shared" si="12"/>
        <v>1.3594451249999999</v>
      </c>
      <c r="AI14" s="97">
        <f t="shared" si="13"/>
        <v>13.594451249999999</v>
      </c>
      <c r="AJ14" s="97">
        <f t="shared" si="14"/>
        <v>9</v>
      </c>
      <c r="AK14" s="98">
        <f t="shared" si="15"/>
        <v>0.6620348136523716</v>
      </c>
      <c r="AL14" s="427">
        <f t="shared" si="16"/>
        <v>-4.5944512499999988</v>
      </c>
      <c r="AP14" s="141"/>
      <c r="AQ14" s="714">
        <f>SUM('[1]INSCRITA PERCAPITA 2024'!$CF$39:$CN$39)</f>
        <v>161.785</v>
      </c>
      <c r="AR14" s="712">
        <f>REMP!G11</f>
        <v>15</v>
      </c>
      <c r="AS14" s="712">
        <f>REMP!M11</f>
        <v>1</v>
      </c>
      <c r="AT14" s="712">
        <f t="shared" si="17"/>
        <v>145.785</v>
      </c>
      <c r="AU14" s="15"/>
      <c r="AV14" s="15"/>
      <c r="AW14" s="15"/>
      <c r="AX14" s="15"/>
      <c r="AY14" s="15"/>
    </row>
    <row r="15" spans="1:52" ht="15" customHeight="1" thickBot="1" x14ac:dyDescent="0.35">
      <c r="A15"/>
      <c r="B15"/>
      <c r="C15" s="64"/>
      <c r="D15" s="65"/>
      <c r="E15" s="66"/>
      <c r="F15" s="105"/>
      <c r="G15" s="28" t="s">
        <v>438</v>
      </c>
      <c r="H15" s="113"/>
      <c r="I15" s="113">
        <f>+REMA!E12</f>
        <v>4</v>
      </c>
      <c r="J15" s="113">
        <f>+REMA!F12</f>
        <v>3</v>
      </c>
      <c r="K15" s="113">
        <f>+REMA!G12</f>
        <v>7</v>
      </c>
      <c r="L15" s="113">
        <f>+REMA!H12</f>
        <v>0</v>
      </c>
      <c r="M15" s="113">
        <f>+REMA!I12</f>
        <v>1</v>
      </c>
      <c r="N15" s="113">
        <f>+REMA!J12</f>
        <v>15</v>
      </c>
      <c r="O15" s="113">
        <f>+REMA!K12</f>
        <v>15</v>
      </c>
      <c r="P15" s="113">
        <f>+REMA!L12</f>
        <v>5</v>
      </c>
      <c r="Q15" s="113">
        <f>+REMA!M12</f>
        <v>6</v>
      </c>
      <c r="R15" s="113">
        <f>+REMA!N12</f>
        <v>5</v>
      </c>
      <c r="S15" s="113">
        <f>+REMA!O12</f>
        <v>0</v>
      </c>
      <c r="T15" s="113">
        <f>+REMA!P12</f>
        <v>0</v>
      </c>
      <c r="U15" s="612">
        <f t="shared" si="1"/>
        <v>61</v>
      </c>
      <c r="V15" s="73">
        <f t="shared" si="18"/>
        <v>1530.3448000000001</v>
      </c>
      <c r="W15" s="505">
        <f t="shared" si="2"/>
        <v>3.9860298149802575E-2</v>
      </c>
      <c r="X15" s="659">
        <f t="shared" si="3"/>
        <v>0.1119</v>
      </c>
      <c r="Y15" s="55">
        <f t="shared" si="4"/>
        <v>7.8329999999999997E-2</v>
      </c>
      <c r="Z15" s="115">
        <f t="shared" si="0"/>
        <v>0.50887652431766339</v>
      </c>
      <c r="AA15" s="115">
        <f t="shared" si="5"/>
        <v>1.679292530248289E-2</v>
      </c>
      <c r="AB15" s="539">
        <f t="shared" si="6"/>
        <v>0.1119</v>
      </c>
      <c r="AC15" s="539">
        <f t="shared" si="7"/>
        <v>3.9860298149802575E-2</v>
      </c>
      <c r="AD15" s="540">
        <f t="shared" si="8"/>
        <v>0.3562135670223644</v>
      </c>
      <c r="AE15" s="96">
        <f t="shared" si="9"/>
        <v>1530.3448000000001</v>
      </c>
      <c r="AF15" s="97">
        <f t="shared" si="10"/>
        <v>171.24558312000002</v>
      </c>
      <c r="AG15" s="96">
        <f t="shared" si="11"/>
        <v>61</v>
      </c>
      <c r="AH15" s="97">
        <f t="shared" si="12"/>
        <v>14.270465260000002</v>
      </c>
      <c r="AI15" s="97">
        <f t="shared" si="13"/>
        <v>142.70465260000003</v>
      </c>
      <c r="AJ15" s="97">
        <f t="shared" si="14"/>
        <v>61</v>
      </c>
      <c r="AK15" s="541">
        <f t="shared" si="15"/>
        <v>0.42745628042683725</v>
      </c>
      <c r="AL15" s="427">
        <f t="shared" si="16"/>
        <v>-81.704652600000031</v>
      </c>
      <c r="AP15" s="141"/>
      <c r="AQ15" s="707">
        <f>SUM('[1]INSCRITA PERCAPITA 2024'!$CF$40:$CN$40)</f>
        <v>1664.3448000000001</v>
      </c>
      <c r="AR15" s="715">
        <f>REMP!G12</f>
        <v>110</v>
      </c>
      <c r="AS15" s="715">
        <f>REMP!M12</f>
        <v>24</v>
      </c>
      <c r="AT15" s="715">
        <f t="shared" si="17"/>
        <v>1530.3448000000001</v>
      </c>
      <c r="AU15" s="15"/>
      <c r="AV15" s="15"/>
      <c r="AW15" s="15"/>
      <c r="AX15" s="15"/>
      <c r="AY15" s="15"/>
    </row>
    <row r="16" spans="1:52" ht="15" customHeight="1" thickBot="1" x14ac:dyDescent="0.3">
      <c r="A16"/>
      <c r="B16"/>
      <c r="C16" s="64"/>
      <c r="D16" s="65"/>
      <c r="E16" s="66"/>
      <c r="F16" s="105"/>
      <c r="G16" s="613" t="s">
        <v>15</v>
      </c>
      <c r="H16" s="84"/>
      <c r="I16" s="84">
        <f>SUM(I9:I15)</f>
        <v>357</v>
      </c>
      <c r="J16" s="84">
        <f t="shared" ref="J16:T16" si="19">SUM(J9:J15)</f>
        <v>174</v>
      </c>
      <c r="K16" s="84">
        <f t="shared" si="19"/>
        <v>243</v>
      </c>
      <c r="L16" s="84">
        <f t="shared" si="19"/>
        <v>391</v>
      </c>
      <c r="M16" s="84">
        <f t="shared" si="19"/>
        <v>394</v>
      </c>
      <c r="N16" s="84">
        <f t="shared" si="19"/>
        <v>391</v>
      </c>
      <c r="O16" s="84">
        <f t="shared" si="19"/>
        <v>383</v>
      </c>
      <c r="P16" s="84">
        <f t="shared" si="19"/>
        <v>367</v>
      </c>
      <c r="Q16" s="84">
        <f t="shared" si="19"/>
        <v>271</v>
      </c>
      <c r="R16" s="84">
        <f t="shared" si="19"/>
        <v>415</v>
      </c>
      <c r="S16" s="84">
        <f t="shared" si="19"/>
        <v>0</v>
      </c>
      <c r="T16" s="84">
        <f t="shared" si="19"/>
        <v>0</v>
      </c>
      <c r="U16" s="600">
        <f>SUM(U9:U15)</f>
        <v>3386</v>
      </c>
      <c r="V16" s="85">
        <f>AT16</f>
        <v>37923</v>
      </c>
      <c r="W16" s="688">
        <f t="shared" si="2"/>
        <v>8.9286185164675791E-2</v>
      </c>
      <c r="X16" s="506">
        <f t="shared" si="3"/>
        <v>0.1119</v>
      </c>
      <c r="Y16" s="506">
        <f t="shared" si="4"/>
        <v>7.8329999999999997E-2</v>
      </c>
      <c r="Z16" s="611">
        <f t="shared" si="0"/>
        <v>1</v>
      </c>
      <c r="AA16" s="507">
        <f t="shared" si="5"/>
        <v>3.3000000000000002E-2</v>
      </c>
      <c r="AB16" s="542">
        <f t="shared" si="6"/>
        <v>0.1119</v>
      </c>
      <c r="AC16" s="542">
        <f t="shared" si="7"/>
        <v>8.9286185164675791E-2</v>
      </c>
      <c r="AD16" s="543">
        <f t="shared" si="8"/>
        <v>0.79791050191846102</v>
      </c>
      <c r="AE16" s="544">
        <f t="shared" si="9"/>
        <v>37923</v>
      </c>
      <c r="AF16" s="545">
        <f t="shared" si="10"/>
        <v>4243.5837000000001</v>
      </c>
      <c r="AG16" s="544">
        <f t="shared" si="11"/>
        <v>3386</v>
      </c>
      <c r="AH16" s="544">
        <f>AF16/$AI$4</f>
        <v>353.63197500000001</v>
      </c>
      <c r="AI16" s="544">
        <f t="shared" si="13"/>
        <v>3536.3197500000001</v>
      </c>
      <c r="AJ16" s="544">
        <f t="shared" si="14"/>
        <v>3386</v>
      </c>
      <c r="AK16" s="546">
        <f t="shared" si="15"/>
        <v>0.95749260230215327</v>
      </c>
      <c r="AL16" s="427">
        <f t="shared" si="16"/>
        <v>-150.31975000000011</v>
      </c>
      <c r="AP16" s="141" t="s">
        <v>15</v>
      </c>
      <c r="AQ16" s="708">
        <f>SUM(AQ9:AQ15)</f>
        <v>41112</v>
      </c>
      <c r="AR16" s="716">
        <f>SUM(AR9:AR15)</f>
        <v>2733</v>
      </c>
      <c r="AS16" s="716">
        <f>SUM(AS9:AS15)</f>
        <v>456</v>
      </c>
      <c r="AT16" s="709">
        <f>SUM(AT9:AT15)</f>
        <v>37923</v>
      </c>
      <c r="AU16" s="15"/>
      <c r="AV16" s="15"/>
      <c r="AW16" s="15"/>
      <c r="AX16" s="15"/>
      <c r="AY16" s="15"/>
    </row>
    <row r="17" spans="3:51" x14ac:dyDescent="0.25">
      <c r="C17" s="64"/>
      <c r="D17" s="65"/>
      <c r="X17" s="18"/>
      <c r="AB17" s="121"/>
      <c r="AC17" s="121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  <row r="18" spans="3:51" x14ac:dyDescent="0.25">
      <c r="AQ18" s="15"/>
    </row>
    <row r="19" spans="3:51" x14ac:dyDescent="0.25">
      <c r="AQ19" s="15"/>
    </row>
    <row r="20" spans="3:51" x14ac:dyDescent="0.25">
      <c r="AQ20" s="15"/>
    </row>
    <row r="21" spans="3:51" x14ac:dyDescent="0.25">
      <c r="AQ21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T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4</vt:i4>
      </vt:variant>
    </vt:vector>
  </HeadingPairs>
  <TitlesOfParts>
    <vt:vector size="35" baseType="lpstr">
      <vt:lpstr>NOMBRE</vt:lpstr>
      <vt:lpstr>indicadores</vt:lpstr>
      <vt:lpstr>Resumen indicador</vt:lpstr>
      <vt:lpstr>meta2.1</vt:lpstr>
      <vt:lpstr>meta2.2</vt:lpstr>
      <vt:lpstr>meta3</vt:lpstr>
      <vt:lpstr>meta4</vt:lpstr>
      <vt:lpstr>meta5</vt:lpstr>
      <vt:lpstr>meta6.1a</vt:lpstr>
      <vt:lpstr>meta6.1b</vt:lpstr>
      <vt:lpstr>meta6.2</vt:lpstr>
      <vt:lpstr>meta7</vt:lpstr>
      <vt:lpstr>meta8</vt:lpstr>
      <vt:lpstr>meta9</vt:lpstr>
      <vt:lpstr>meta10a</vt:lpstr>
      <vt:lpstr>meta10b</vt:lpstr>
      <vt:lpstr>meta12</vt:lpstr>
      <vt:lpstr>meta13</vt:lpstr>
      <vt:lpstr>meta14</vt:lpstr>
      <vt:lpstr>meta15</vt:lpstr>
      <vt:lpstr>meta16</vt:lpstr>
      <vt:lpstr>meta17</vt:lpstr>
      <vt:lpstr>meta18</vt:lpstr>
      <vt:lpstr>Cumplimiento%</vt:lpstr>
      <vt:lpstr>CumplimientoPonderado</vt:lpstr>
      <vt:lpstr>REMA</vt:lpstr>
      <vt:lpstr>REMB</vt:lpstr>
      <vt:lpstr>REMC</vt:lpstr>
      <vt:lpstr>REMP</vt:lpstr>
      <vt:lpstr>Poblacion2024</vt:lpstr>
      <vt:lpstr>Glosa</vt:lpstr>
      <vt:lpstr>Glosa!Área_de_impresión</vt:lpstr>
      <vt:lpstr>REMA!Títulos_a_imprimir</vt:lpstr>
      <vt:lpstr>REMB!Títulos_a_imprimir</vt:lpstr>
      <vt:lpstr>REMC!Títulos_a_imprimir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Díaz</dc:creator>
  <cp:lastModifiedBy>Cristian Díaz</cp:lastModifiedBy>
  <dcterms:created xsi:type="dcterms:W3CDTF">2023-10-31T13:39:40Z</dcterms:created>
  <dcterms:modified xsi:type="dcterms:W3CDTF">2024-11-28T13:41:13Z</dcterms:modified>
</cp:coreProperties>
</file>