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3" documentId="8_{3DFF2D7B-56B0-4050-AA72-F10A6A835484}" xr6:coauthVersionLast="47" xr6:coauthVersionMax="47" xr10:uidLastSave="{93B6FE02-E3BE-44A2-A15E-B70D06DE9B6F}"/>
  <bookViews>
    <workbookView xWindow="-120" yWindow="-120" windowWidth="29040" windowHeight="15720" tabRatio="915" firstSheet="2" activeTab="22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r:id="rId4"/>
    <sheet name="meta2.2" sheetId="3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meta18!$G$4:$N$16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6" i="23" l="1"/>
  <c r="X8" i="6" l="1"/>
  <c r="FG12" i="25" l="1"/>
  <c r="FG11" i="25"/>
  <c r="FG10" i="25"/>
  <c r="FG9" i="25"/>
  <c r="FG8" i="25"/>
  <c r="FG7" i="25"/>
  <c r="FG6" i="25"/>
  <c r="ES12" i="25"/>
  <c r="ES11" i="25"/>
  <c r="ES10" i="25"/>
  <c r="ES9" i="25"/>
  <c r="ES8" i="25"/>
  <c r="ES7" i="25"/>
  <c r="ES6" i="25"/>
  <c r="EE12" i="25"/>
  <c r="EE11" i="25"/>
  <c r="EE10" i="25"/>
  <c r="EE9" i="25"/>
  <c r="EE8" i="25"/>
  <c r="EE7" i="25"/>
  <c r="EE6" i="25"/>
  <c r="DQ12" i="25"/>
  <c r="DQ11" i="25"/>
  <c r="DQ10" i="25"/>
  <c r="DQ9" i="25"/>
  <c r="DQ8" i="25"/>
  <c r="DQ7" i="25"/>
  <c r="DQ6" i="25"/>
  <c r="DC12" i="25"/>
  <c r="DC11" i="25"/>
  <c r="DC10" i="25"/>
  <c r="DC9" i="25"/>
  <c r="DC8" i="25"/>
  <c r="DC7" i="25"/>
  <c r="DC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AY12" i="25"/>
  <c r="AY11" i="25"/>
  <c r="AY10" i="25"/>
  <c r="AY9" i="25"/>
  <c r="AY8" i="25"/>
  <c r="AY7" i="25"/>
  <c r="AY6" i="25"/>
  <c r="AK12" i="25"/>
  <c r="AK11" i="25"/>
  <c r="AK10" i="25"/>
  <c r="AK9" i="25"/>
  <c r="AK8" i="25"/>
  <c r="AK7" i="25"/>
  <c r="AK6" i="25"/>
  <c r="W12" i="25"/>
  <c r="W11" i="25"/>
  <c r="W10" i="25"/>
  <c r="W9" i="25"/>
  <c r="W8" i="25"/>
  <c r="W7" i="25"/>
  <c r="W6" i="25"/>
  <c r="I12" i="25"/>
  <c r="I11" i="25"/>
  <c r="I10" i="25"/>
  <c r="I9" i="25"/>
  <c r="I8" i="25"/>
  <c r="I7" i="25"/>
  <c r="I6" i="25"/>
  <c r="DQ12" i="24"/>
  <c r="DQ11" i="24"/>
  <c r="DQ10" i="24"/>
  <c r="DQ9" i="24"/>
  <c r="DQ8" i="24"/>
  <c r="DQ7" i="24"/>
  <c r="DQ6" i="24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N16" i="20"/>
  <c r="N10" i="20"/>
  <c r="N11" i="20"/>
  <c r="N12" i="20"/>
  <c r="N13" i="20"/>
  <c r="N14" i="20"/>
  <c r="N15" i="20"/>
  <c r="N9" i="20"/>
  <c r="N10" i="18"/>
  <c r="N11" i="18"/>
  <c r="N12" i="18"/>
  <c r="N13" i="18"/>
  <c r="N14" i="18"/>
  <c r="N15" i="18"/>
  <c r="N16" i="18"/>
  <c r="N9" i="18"/>
  <c r="N10" i="17"/>
  <c r="N11" i="17"/>
  <c r="N12" i="17"/>
  <c r="N13" i="17"/>
  <c r="N14" i="17"/>
  <c r="N15" i="17"/>
  <c r="N16" i="17"/>
  <c r="N9" i="17"/>
  <c r="N10" i="16"/>
  <c r="N11" i="16"/>
  <c r="N12" i="16"/>
  <c r="N13" i="16"/>
  <c r="N14" i="16"/>
  <c r="N15" i="16"/>
  <c r="N16" i="16"/>
  <c r="N9" i="16"/>
  <c r="CO6" i="25" l="1"/>
  <c r="Y16" i="19"/>
  <c r="Y10" i="19"/>
  <c r="Y11" i="19"/>
  <c r="Y12" i="19"/>
  <c r="Y13" i="19"/>
  <c r="Y14" i="19"/>
  <c r="Y15" i="19"/>
  <c r="Y9" i="19"/>
  <c r="L16" i="16"/>
  <c r="L10" i="16"/>
  <c r="L11" i="16"/>
  <c r="L12" i="16"/>
  <c r="L13" i="16"/>
  <c r="L14" i="16"/>
  <c r="L15" i="16"/>
  <c r="L9" i="16"/>
  <c r="X16" i="9"/>
  <c r="X10" i="9"/>
  <c r="X11" i="9"/>
  <c r="X12" i="9" s="1"/>
  <c r="X13" i="9" s="1"/>
  <c r="X14" i="9" s="1"/>
  <c r="X15" i="9" s="1"/>
  <c r="X9" i="9"/>
  <c r="Y16" i="8"/>
  <c r="Y10" i="8"/>
  <c r="Y11" i="8"/>
  <c r="Y12" i="8"/>
  <c r="Y13" i="8"/>
  <c r="Y14" i="8"/>
  <c r="Y15" i="8"/>
  <c r="Y9" i="8"/>
  <c r="X8" i="4" l="1"/>
  <c r="BJ9" i="25"/>
  <c r="V16" i="19" l="1"/>
  <c r="V16" i="11"/>
  <c r="V9" i="7"/>
  <c r="AH5" i="4"/>
  <c r="V4" i="20"/>
  <c r="AI5" i="19"/>
  <c r="V4" i="18"/>
  <c r="V4" i="17"/>
  <c r="V4" i="16"/>
  <c r="AT5" i="15"/>
  <c r="V4" i="14"/>
  <c r="AH5" i="13"/>
  <c r="AI5" i="12"/>
  <c r="AI5" i="11"/>
  <c r="AH5" i="10"/>
  <c r="AH5" i="9"/>
  <c r="AI5" i="8"/>
  <c r="AI5" i="31"/>
  <c r="AI5" i="7"/>
  <c r="AI5" i="6"/>
  <c r="AT5" i="5"/>
  <c r="FF12" i="25" l="1"/>
  <c r="FF11" i="25"/>
  <c r="FF10" i="25"/>
  <c r="FF9" i="25"/>
  <c r="FF8" i="25"/>
  <c r="FF7" i="25"/>
  <c r="FF6" i="25"/>
  <c r="ER12" i="25"/>
  <c r="ER11" i="25"/>
  <c r="ER10" i="25"/>
  <c r="ER9" i="25"/>
  <c r="ER8" i="25"/>
  <c r="ER7" i="25"/>
  <c r="ER6" i="25"/>
  <c r="ED12" i="25"/>
  <c r="ED11" i="25"/>
  <c r="ED10" i="25"/>
  <c r="ED9" i="25"/>
  <c r="ED8" i="25"/>
  <c r="ED7" i="25"/>
  <c r="ED6" i="25"/>
  <c r="DP12" i="25"/>
  <c r="DP11" i="25"/>
  <c r="DP10" i="25"/>
  <c r="DP9" i="25"/>
  <c r="DP8" i="25"/>
  <c r="DP7" i="25"/>
  <c r="DP6" i="25"/>
  <c r="DB12" i="25"/>
  <c r="DB11" i="25"/>
  <c r="DB10" i="25"/>
  <c r="DB9" i="25"/>
  <c r="DB8" i="25"/>
  <c r="DB7" i="25"/>
  <c r="DB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AX12" i="25"/>
  <c r="AX11" i="25"/>
  <c r="AX10" i="25"/>
  <c r="AX9" i="25"/>
  <c r="AX8" i="25"/>
  <c r="AX7" i="25"/>
  <c r="AX6" i="25"/>
  <c r="AJ12" i="25"/>
  <c r="AJ11" i="25"/>
  <c r="AJ10" i="25"/>
  <c r="AJ9" i="25"/>
  <c r="AJ8" i="25"/>
  <c r="AJ7" i="25"/>
  <c r="AJ6" i="25"/>
  <c r="V12" i="25"/>
  <c r="V11" i="25"/>
  <c r="V10" i="25"/>
  <c r="V9" i="25"/>
  <c r="V8" i="25"/>
  <c r="V7" i="25"/>
  <c r="V6" i="25"/>
  <c r="H12" i="25"/>
  <c r="H11" i="25"/>
  <c r="H10" i="25"/>
  <c r="H9" i="25"/>
  <c r="H8" i="25"/>
  <c r="H7" i="25"/>
  <c r="H6" i="25"/>
  <c r="DP12" i="24"/>
  <c r="DP11" i="24"/>
  <c r="DP10" i="24"/>
  <c r="DP9" i="24"/>
  <c r="DP8" i="24"/>
  <c r="DP7" i="24"/>
  <c r="DP6" i="24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V12" i="23"/>
  <c r="L15" i="31" s="1"/>
  <c r="V11" i="23"/>
  <c r="L14" i="31" s="1"/>
  <c r="V10" i="23"/>
  <c r="L13" i="31" s="1"/>
  <c r="V9" i="23"/>
  <c r="L12" i="31" s="1"/>
  <c r="V8" i="23"/>
  <c r="L11" i="31" s="1"/>
  <c r="V7" i="23"/>
  <c r="L10" i="31" s="1"/>
  <c r="V6" i="23"/>
  <c r="L9" i="31" s="1"/>
  <c r="H12" i="23"/>
  <c r="H11" i="23"/>
  <c r="H10" i="23"/>
  <c r="H9" i="23"/>
  <c r="H8" i="23"/>
  <c r="H7" i="23"/>
  <c r="H6" i="23"/>
  <c r="G12" i="23"/>
  <c r="G11" i="23"/>
  <c r="G10" i="23"/>
  <c r="G9" i="23"/>
  <c r="G8" i="23"/>
  <c r="G7" i="23"/>
  <c r="DB9" i="24" l="1"/>
  <c r="DB10" i="24"/>
  <c r="DB6" i="24"/>
  <c r="DB8" i="24"/>
  <c r="DB7" i="24"/>
  <c r="DB11" i="24"/>
  <c r="DB12" i="24"/>
  <c r="F7" i="23"/>
  <c r="U12" i="23"/>
  <c r="K15" i="31" s="1"/>
  <c r="U11" i="23"/>
  <c r="K14" i="31" s="1"/>
  <c r="U10" i="23"/>
  <c r="K13" i="31" s="1"/>
  <c r="U9" i="23"/>
  <c r="K12" i="31" s="1"/>
  <c r="U8" i="23"/>
  <c r="K11" i="31" s="1"/>
  <c r="U7" i="23"/>
  <c r="K10" i="31" s="1"/>
  <c r="U6" i="23"/>
  <c r="K9" i="31" s="1"/>
  <c r="G6" i="23"/>
  <c r="T12" i="23"/>
  <c r="J15" i="31" s="1"/>
  <c r="T11" i="23"/>
  <c r="J14" i="31" s="1"/>
  <c r="T10" i="23"/>
  <c r="J13" i="31" s="1"/>
  <c r="T9" i="23"/>
  <c r="J12" i="31" s="1"/>
  <c r="T8" i="23"/>
  <c r="J11" i="31" s="1"/>
  <c r="T7" i="23"/>
  <c r="J10" i="31" s="1"/>
  <c r="T6" i="23"/>
  <c r="J9" i="31" s="1"/>
  <c r="F12" i="23"/>
  <c r="F11" i="23"/>
  <c r="F10" i="23"/>
  <c r="F9" i="23"/>
  <c r="F8" i="23"/>
  <c r="F6" i="23"/>
  <c r="S12" i="23"/>
  <c r="I15" i="31" s="1"/>
  <c r="E12" i="23"/>
  <c r="S11" i="23"/>
  <c r="I14" i="31" s="1"/>
  <c r="E11" i="23"/>
  <c r="S10" i="23"/>
  <c r="I13" i="31" s="1"/>
  <c r="E10" i="23"/>
  <c r="S8" i="23"/>
  <c r="I11" i="31" s="1"/>
  <c r="E8" i="23"/>
  <c r="S7" i="23"/>
  <c r="I10" i="31" s="1"/>
  <c r="E7" i="23"/>
  <c r="S6" i="23"/>
  <c r="I9" i="31" s="1"/>
  <c r="E6" i="23"/>
  <c r="E9" i="23"/>
  <c r="S9" i="23"/>
  <c r="I12" i="31" s="1"/>
  <c r="AD13" i="23" l="1"/>
  <c r="AC13" i="23"/>
  <c r="AB13" i="23"/>
  <c r="AA13" i="23"/>
  <c r="Z13" i="23"/>
  <c r="Y13" i="23"/>
  <c r="X13" i="23"/>
  <c r="W13" i="23"/>
  <c r="V13" i="23"/>
  <c r="AE11" i="23"/>
  <c r="G4" i="30"/>
  <c r="G5" i="30"/>
  <c r="G17" i="30"/>
  <c r="F17" i="30"/>
  <c r="E17" i="30"/>
  <c r="Q17" i="12"/>
  <c r="AQ15" i="31"/>
  <c r="AQ14" i="31"/>
  <c r="AQ13" i="31"/>
  <c r="AQ12" i="31"/>
  <c r="AQ11" i="31"/>
  <c r="AQ10" i="31"/>
  <c r="AQ9" i="31"/>
  <c r="H12" i="26"/>
  <c r="AR15" i="31" s="1"/>
  <c r="G12" i="26"/>
  <c r="H11" i="26"/>
  <c r="AR14" i="31" s="1"/>
  <c r="G11" i="26"/>
  <c r="H10" i="26"/>
  <c r="AR13" i="31" s="1"/>
  <c r="G10" i="26"/>
  <c r="H9" i="26"/>
  <c r="AR12" i="31" s="1"/>
  <c r="G9" i="26"/>
  <c r="H8" i="26"/>
  <c r="AR11" i="31" s="1"/>
  <c r="G8" i="26"/>
  <c r="H7" i="26"/>
  <c r="AR10" i="31" s="1"/>
  <c r="G7" i="26"/>
  <c r="H6" i="26"/>
  <c r="AR9" i="31" s="1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U15" i="9" s="1"/>
  <c r="J12" i="26"/>
  <c r="AO15" i="12" s="1"/>
  <c r="AR15" i="7"/>
  <c r="F12" i="26"/>
  <c r="H15" i="17" s="1"/>
  <c r="E12" i="26"/>
  <c r="H15" i="18" s="1"/>
  <c r="N11" i="26"/>
  <c r="H14" i="20" s="1"/>
  <c r="K11" i="26"/>
  <c r="U14" i="9" s="1"/>
  <c r="J11" i="26"/>
  <c r="AO14" i="12" s="1"/>
  <c r="AR14" i="7"/>
  <c r="F11" i="26"/>
  <c r="H14" i="17" s="1"/>
  <c r="E11" i="26"/>
  <c r="H14" i="18" s="1"/>
  <c r="N10" i="26"/>
  <c r="H13" i="20" s="1"/>
  <c r="K10" i="26"/>
  <c r="U13" i="9" s="1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U9" i="9" s="1"/>
  <c r="J6" i="26"/>
  <c r="AO9" i="12" s="1"/>
  <c r="AR9" i="7"/>
  <c r="F6" i="26"/>
  <c r="H9" i="17" s="1"/>
  <c r="E6" i="26"/>
  <c r="H9" i="18" s="1"/>
  <c r="K9" i="26"/>
  <c r="U12" i="9" s="1"/>
  <c r="J9" i="26"/>
  <c r="AO12" i="12" s="1"/>
  <c r="AR12" i="7"/>
  <c r="F9" i="26"/>
  <c r="H12" i="17" s="1"/>
  <c r="E9" i="26"/>
  <c r="H12" i="18" s="1"/>
  <c r="AT9" i="7" l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U11" i="9" s="1"/>
  <c r="J8" i="26"/>
  <c r="AO11" i="12" s="1"/>
  <c r="AR11" i="7"/>
  <c r="F8" i="26"/>
  <c r="H11" i="17" s="1"/>
  <c r="E8" i="26"/>
  <c r="H11" i="18" s="1"/>
  <c r="N7" i="26"/>
  <c r="H10" i="20" s="1"/>
  <c r="K7" i="26"/>
  <c r="U10" i="9" s="1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K8" i="20"/>
  <c r="K12" i="20" s="1"/>
  <c r="X8" i="19"/>
  <c r="X9" i="19" s="1"/>
  <c r="K8" i="18"/>
  <c r="K14" i="18" s="1"/>
  <c r="K8" i="17"/>
  <c r="K14" i="17" s="1"/>
  <c r="K8" i="16"/>
  <c r="K9" i="16" s="1"/>
  <c r="AI8" i="15"/>
  <c r="AI9" i="15" s="1"/>
  <c r="W10" i="13"/>
  <c r="X10" i="13" s="1"/>
  <c r="W11" i="13"/>
  <c r="X11" i="13" s="1"/>
  <c r="W8" i="13"/>
  <c r="W12" i="13" s="1"/>
  <c r="X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R15" i="31"/>
  <c r="Q15" i="31"/>
  <c r="P15" i="31"/>
  <c r="O15" i="31"/>
  <c r="N15" i="31"/>
  <c r="M15" i="31"/>
  <c r="T14" i="31"/>
  <c r="S14" i="31"/>
  <c r="R14" i="31"/>
  <c r="Q14" i="31"/>
  <c r="P14" i="31"/>
  <c r="O14" i="31"/>
  <c r="N14" i="31"/>
  <c r="M14" i="31"/>
  <c r="T13" i="31"/>
  <c r="S13" i="31"/>
  <c r="R13" i="31"/>
  <c r="Q13" i="31"/>
  <c r="P13" i="31"/>
  <c r="O13" i="31"/>
  <c r="N13" i="31"/>
  <c r="M13" i="31"/>
  <c r="T12" i="31"/>
  <c r="S12" i="31"/>
  <c r="R12" i="31"/>
  <c r="Q12" i="31"/>
  <c r="P12" i="31"/>
  <c r="O12" i="31"/>
  <c r="N12" i="31"/>
  <c r="M12" i="31"/>
  <c r="T11" i="31"/>
  <c r="S11" i="31"/>
  <c r="R11" i="31"/>
  <c r="Q11" i="31"/>
  <c r="P11" i="31"/>
  <c r="O11" i="31"/>
  <c r="N11" i="31"/>
  <c r="M11" i="31"/>
  <c r="T10" i="31"/>
  <c r="S10" i="31"/>
  <c r="R10" i="31"/>
  <c r="Q10" i="31"/>
  <c r="P10" i="31"/>
  <c r="O10" i="31"/>
  <c r="N10" i="31"/>
  <c r="M10" i="31"/>
  <c r="T9" i="31"/>
  <c r="S9" i="31"/>
  <c r="R9" i="31"/>
  <c r="Q9" i="31"/>
  <c r="P9" i="31"/>
  <c r="O9" i="31"/>
  <c r="O16" i="31" s="1"/>
  <c r="N9" i="31"/>
  <c r="M9" i="31"/>
  <c r="Y8" i="31"/>
  <c r="X6" i="31"/>
  <c r="X2" i="31"/>
  <c r="AI8" i="5"/>
  <c r="W8" i="4"/>
  <c r="W12" i="4" s="1"/>
  <c r="AJ9" i="5"/>
  <c r="Y8" i="6"/>
  <c r="Y13" i="6" s="1"/>
  <c r="L8" i="20"/>
  <c r="Y8" i="19"/>
  <c r="L8" i="16"/>
  <c r="X8" i="13"/>
  <c r="Y8" i="12"/>
  <c r="Y8" i="11"/>
  <c r="X8" i="10"/>
  <c r="X8" i="9"/>
  <c r="Y8" i="8"/>
  <c r="Y8" i="7"/>
  <c r="P64" i="28"/>
  <c r="X11" i="11"/>
  <c r="X12" i="11"/>
  <c r="X13" i="11"/>
  <c r="X14" i="11"/>
  <c r="X15" i="11"/>
  <c r="X16" i="11"/>
  <c r="L14" i="17" l="1"/>
  <c r="L12" i="20"/>
  <c r="K11" i="20"/>
  <c r="L11" i="20" s="1"/>
  <c r="L14" i="18"/>
  <c r="K10" i="20"/>
  <c r="L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K9" i="17"/>
  <c r="L9" i="17" s="1"/>
  <c r="K16" i="17"/>
  <c r="L16" i="17" s="1"/>
  <c r="K15" i="17"/>
  <c r="L15" i="17" s="1"/>
  <c r="W16" i="9"/>
  <c r="K12" i="17"/>
  <c r="L12" i="17" s="1"/>
  <c r="K11" i="17"/>
  <c r="L11" i="17" s="1"/>
  <c r="W14" i="9"/>
  <c r="X13" i="12"/>
  <c r="Y13" i="12" s="1"/>
  <c r="K10" i="17"/>
  <c r="L10" i="17" s="1"/>
  <c r="K9" i="20"/>
  <c r="L9" i="20" s="1"/>
  <c r="W13" i="9"/>
  <c r="X12" i="12"/>
  <c r="Y12" i="12" s="1"/>
  <c r="K16" i="20"/>
  <c r="L16" i="20" s="1"/>
  <c r="K13" i="17"/>
  <c r="L13" i="17" s="1"/>
  <c r="W12" i="9"/>
  <c r="X11" i="12"/>
  <c r="Y11" i="12" s="1"/>
  <c r="K15" i="20"/>
  <c r="L15" i="20" s="1"/>
  <c r="W9" i="9"/>
  <c r="W15" i="9"/>
  <c r="W11" i="9"/>
  <c r="X10" i="12"/>
  <c r="Y10" i="12" s="1"/>
  <c r="K14" i="20"/>
  <c r="L14" i="20" s="1"/>
  <c r="X9" i="8"/>
  <c r="X17" i="12"/>
  <c r="Y17" i="12" s="1"/>
  <c r="K13" i="20"/>
  <c r="L13" i="20" s="1"/>
  <c r="Y14" i="12"/>
  <c r="K16" i="18"/>
  <c r="L16" i="18" s="1"/>
  <c r="K13" i="18"/>
  <c r="L13" i="18" s="1"/>
  <c r="K9" i="18"/>
  <c r="L9" i="18" s="1"/>
  <c r="K12" i="18"/>
  <c r="L12" i="18" s="1"/>
  <c r="K11" i="18"/>
  <c r="L11" i="18" s="1"/>
  <c r="K10" i="18"/>
  <c r="L10" i="18" s="1"/>
  <c r="K15" i="18"/>
  <c r="L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K10" i="16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K6" i="20"/>
  <c r="X6" i="19"/>
  <c r="K6" i="18"/>
  <c r="K6" i="17"/>
  <c r="K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FE12" i="25"/>
  <c r="FE11" i="25"/>
  <c r="FE10" i="25"/>
  <c r="FE9" i="25"/>
  <c r="FE8" i="25"/>
  <c r="FE7" i="25"/>
  <c r="FE6" i="25"/>
  <c r="FD12" i="25"/>
  <c r="FD11" i="25"/>
  <c r="FD10" i="25"/>
  <c r="FD9" i="25"/>
  <c r="FD8" i="25"/>
  <c r="FD7" i="25"/>
  <c r="FD6" i="25"/>
  <c r="EP12" i="25"/>
  <c r="EP11" i="25"/>
  <c r="EP10" i="25"/>
  <c r="EP9" i="25"/>
  <c r="EP8" i="25"/>
  <c r="EP7" i="25"/>
  <c r="EP6" i="25"/>
  <c r="EB12" i="25"/>
  <c r="EB11" i="25"/>
  <c r="EB10" i="25"/>
  <c r="EB9" i="25"/>
  <c r="EB8" i="25"/>
  <c r="EB7" i="25"/>
  <c r="EB6" i="25"/>
  <c r="DN12" i="25"/>
  <c r="DN11" i="25"/>
  <c r="DN10" i="25"/>
  <c r="DN9" i="25"/>
  <c r="DN8" i="25"/>
  <c r="DN7" i="25"/>
  <c r="DN6" i="25"/>
  <c r="CZ12" i="25"/>
  <c r="CZ11" i="25"/>
  <c r="CZ10" i="25"/>
  <c r="CZ9" i="25"/>
  <c r="CZ8" i="25"/>
  <c r="CZ7" i="25"/>
  <c r="CZ6" i="25"/>
  <c r="EQ12" i="25"/>
  <c r="EQ11" i="25"/>
  <c r="EQ10" i="25"/>
  <c r="EQ9" i="25"/>
  <c r="EQ8" i="25"/>
  <c r="EQ7" i="25"/>
  <c r="EQ6" i="25"/>
  <c r="EC12" i="25"/>
  <c r="EC11" i="25"/>
  <c r="EC10" i="25"/>
  <c r="EC9" i="25"/>
  <c r="EC8" i="25"/>
  <c r="EC7" i="25"/>
  <c r="EC6" i="25"/>
  <c r="DO12" i="25"/>
  <c r="DO11" i="25"/>
  <c r="DO10" i="25"/>
  <c r="DO9" i="25"/>
  <c r="DO8" i="25"/>
  <c r="DO7" i="25"/>
  <c r="DO6" i="25"/>
  <c r="DA12" i="25"/>
  <c r="DA11" i="25"/>
  <c r="DA10" i="25"/>
  <c r="DA9" i="25"/>
  <c r="DA8" i="25"/>
  <c r="DA7" i="25"/>
  <c r="DA6" i="25"/>
  <c r="BY12" i="25"/>
  <c r="BY11" i="25"/>
  <c r="BY10" i="25"/>
  <c r="BY9" i="25"/>
  <c r="BY8" i="25"/>
  <c r="BY7" i="25"/>
  <c r="BY6" i="25"/>
  <c r="BK12" i="25"/>
  <c r="BK11" i="25"/>
  <c r="BK10" i="25"/>
  <c r="BK9" i="25"/>
  <c r="BK8" i="25"/>
  <c r="BK7" i="25"/>
  <c r="BK6" i="25"/>
  <c r="BX12" i="25"/>
  <c r="BX11" i="25"/>
  <c r="BX10" i="25"/>
  <c r="BX9" i="25"/>
  <c r="BX8" i="25"/>
  <c r="BX7" i="25"/>
  <c r="BX6" i="25"/>
  <c r="BJ12" i="25"/>
  <c r="BJ11" i="25"/>
  <c r="BJ10" i="25"/>
  <c r="BJ8" i="25"/>
  <c r="BJ7" i="25"/>
  <c r="BJ6" i="25"/>
  <c r="AV12" i="25"/>
  <c r="AV11" i="25"/>
  <c r="AV10" i="25"/>
  <c r="AV9" i="25"/>
  <c r="AV8" i="25"/>
  <c r="AV7" i="25"/>
  <c r="AV6" i="25"/>
  <c r="AW12" i="25"/>
  <c r="AW11" i="25"/>
  <c r="AW10" i="25"/>
  <c r="AW9" i="25"/>
  <c r="AW8" i="25"/>
  <c r="AW7" i="25"/>
  <c r="AW6" i="25"/>
  <c r="AI12" i="25"/>
  <c r="AI11" i="25"/>
  <c r="AI10" i="25"/>
  <c r="AI9" i="25"/>
  <c r="AI8" i="25"/>
  <c r="AI7" i="25"/>
  <c r="AI6" i="25"/>
  <c r="AH12" i="25"/>
  <c r="AH11" i="25"/>
  <c r="AH10" i="25"/>
  <c r="AH9" i="25"/>
  <c r="AH8" i="25"/>
  <c r="AH7" i="25"/>
  <c r="AH6" i="25"/>
  <c r="U12" i="25"/>
  <c r="U11" i="25"/>
  <c r="U10" i="25"/>
  <c r="U9" i="25"/>
  <c r="U8" i="25"/>
  <c r="U7" i="25"/>
  <c r="U6" i="25"/>
  <c r="T12" i="25"/>
  <c r="T11" i="25"/>
  <c r="T10" i="25"/>
  <c r="T9" i="25"/>
  <c r="T8" i="25"/>
  <c r="T7" i="25"/>
  <c r="T6" i="25"/>
  <c r="G12" i="25"/>
  <c r="G11" i="25"/>
  <c r="G10" i="25"/>
  <c r="G9" i="25"/>
  <c r="G8" i="25"/>
  <c r="G7" i="25"/>
  <c r="G6" i="25"/>
  <c r="F12" i="25"/>
  <c r="F11" i="25"/>
  <c r="F10" i="25"/>
  <c r="F9" i="25"/>
  <c r="F8" i="25"/>
  <c r="F7" i="25"/>
  <c r="F6" i="25"/>
  <c r="FC12" i="25"/>
  <c r="EO12" i="25"/>
  <c r="EA12" i="25"/>
  <c r="DM12" i="25"/>
  <c r="CY12" i="25"/>
  <c r="BW12" i="25"/>
  <c r="BI12" i="25"/>
  <c r="AU12" i="25"/>
  <c r="AG12" i="25"/>
  <c r="S12" i="25"/>
  <c r="E12" i="25"/>
  <c r="FC11" i="25"/>
  <c r="EO11" i="25"/>
  <c r="EA11" i="25"/>
  <c r="DM11" i="25"/>
  <c r="CY11" i="25"/>
  <c r="BW11" i="25"/>
  <c r="BI11" i="25"/>
  <c r="AU11" i="25"/>
  <c r="AG11" i="25"/>
  <c r="S11" i="25"/>
  <c r="E11" i="25"/>
  <c r="FC10" i="25"/>
  <c r="EO10" i="25"/>
  <c r="EA10" i="25"/>
  <c r="DM10" i="25"/>
  <c r="CY10" i="25"/>
  <c r="BW10" i="25"/>
  <c r="BI10" i="25"/>
  <c r="AU10" i="25"/>
  <c r="AG10" i="25"/>
  <c r="S10" i="25"/>
  <c r="E10" i="25"/>
  <c r="FC9" i="25"/>
  <c r="EO9" i="25"/>
  <c r="EA9" i="25"/>
  <c r="DM9" i="25"/>
  <c r="CY9" i="25"/>
  <c r="BW9" i="25"/>
  <c r="BI9" i="25"/>
  <c r="AU9" i="25"/>
  <c r="AG9" i="25"/>
  <c r="S9" i="25"/>
  <c r="E9" i="25"/>
  <c r="FC8" i="25"/>
  <c r="EO8" i="25"/>
  <c r="EA8" i="25"/>
  <c r="DM8" i="25"/>
  <c r="CY8" i="25"/>
  <c r="BW8" i="25"/>
  <c r="BI8" i="25"/>
  <c r="AU8" i="25"/>
  <c r="AG8" i="25"/>
  <c r="S8" i="25"/>
  <c r="E8" i="25"/>
  <c r="FC7" i="25"/>
  <c r="EO7" i="25"/>
  <c r="EA7" i="25"/>
  <c r="DM7" i="25"/>
  <c r="CY7" i="25"/>
  <c r="BW7" i="25"/>
  <c r="BI7" i="25"/>
  <c r="AU7" i="25"/>
  <c r="AG7" i="25"/>
  <c r="S7" i="25"/>
  <c r="E7" i="25"/>
  <c r="FC6" i="25"/>
  <c r="EO6" i="25"/>
  <c r="EA6" i="25"/>
  <c r="DM6" i="25"/>
  <c r="CY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K11" i="16"/>
  <c r="K12" i="16" s="1"/>
  <c r="K13" i="16" s="1"/>
  <c r="K14" i="16" s="1"/>
  <c r="K15" i="16" s="1"/>
  <c r="K16" i="16" s="1"/>
  <c r="AE16" i="31"/>
  <c r="AF16" i="31" s="1"/>
  <c r="AE9" i="31"/>
  <c r="AF9" i="31" s="1"/>
  <c r="Q13" i="27"/>
  <c r="BW6" i="25"/>
  <c r="BI6" i="25"/>
  <c r="AU6" i="25"/>
  <c r="AG6" i="25"/>
  <c r="S6" i="25"/>
  <c r="E6" i="25"/>
  <c r="AI12" i="15" l="1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CK12" i="25"/>
  <c r="CL12" i="25"/>
  <c r="CM12" i="25"/>
  <c r="CN12" i="25"/>
  <c r="CO12" i="25"/>
  <c r="CP12" i="25"/>
  <c r="CQ12" i="25"/>
  <c r="CR12" i="25"/>
  <c r="CS12" i="25"/>
  <c r="CT12" i="25"/>
  <c r="CU12" i="25"/>
  <c r="CK11" i="25"/>
  <c r="CL11" i="25"/>
  <c r="CM11" i="25"/>
  <c r="CN11" i="25"/>
  <c r="CO11" i="25"/>
  <c r="CP11" i="25"/>
  <c r="CQ11" i="25"/>
  <c r="CR11" i="25"/>
  <c r="CS11" i="25"/>
  <c r="CT11" i="25"/>
  <c r="CU11" i="25"/>
  <c r="CJ10" i="25"/>
  <c r="CK10" i="25"/>
  <c r="CL10" i="25"/>
  <c r="CM10" i="25"/>
  <c r="CN10" i="25"/>
  <c r="CO10" i="25"/>
  <c r="CP10" i="25"/>
  <c r="CQ10" i="25"/>
  <c r="CR10" i="25"/>
  <c r="CS10" i="25"/>
  <c r="CT10" i="25"/>
  <c r="CU10" i="25"/>
  <c r="CK9" i="25"/>
  <c r="CL9" i="25"/>
  <c r="CM9" i="25"/>
  <c r="CN9" i="25"/>
  <c r="CO9" i="25"/>
  <c r="CP9" i="25"/>
  <c r="CQ9" i="25"/>
  <c r="CR9" i="25"/>
  <c r="CS9" i="25"/>
  <c r="CT9" i="25"/>
  <c r="CU9" i="25"/>
  <c r="CK8" i="25"/>
  <c r="CL8" i="25"/>
  <c r="CM8" i="25"/>
  <c r="CN8" i="25"/>
  <c r="CO8" i="25"/>
  <c r="CP8" i="25"/>
  <c r="CQ8" i="25"/>
  <c r="CR8" i="25"/>
  <c r="CS8" i="25"/>
  <c r="CT8" i="25"/>
  <c r="CU8" i="25"/>
  <c r="CK7" i="25"/>
  <c r="CL7" i="25"/>
  <c r="CM7" i="25"/>
  <c r="CN7" i="25"/>
  <c r="CO7" i="25"/>
  <c r="CP7" i="25"/>
  <c r="CQ7" i="25"/>
  <c r="CR7" i="25"/>
  <c r="CS7" i="25"/>
  <c r="CT7" i="25"/>
  <c r="CU7" i="25"/>
  <c r="CK6" i="25"/>
  <c r="CL6" i="25"/>
  <c r="CM6" i="25"/>
  <c r="CN6" i="25"/>
  <c r="CP6" i="25"/>
  <c r="CQ6" i="25"/>
  <c r="CR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N8" i="23"/>
  <c r="BB8" i="23"/>
  <c r="BA8" i="23"/>
  <c r="AZ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AI13" i="15" l="1"/>
  <c r="AJ12" i="15"/>
  <c r="U11" i="31"/>
  <c r="AJ11" i="31" s="1"/>
  <c r="AL11" i="31" s="1"/>
  <c r="U13" i="31"/>
  <c r="AG13" i="31" s="1"/>
  <c r="AC13" i="31" s="1"/>
  <c r="AD13" i="31" s="1"/>
  <c r="U10" i="31"/>
  <c r="W10" i="31" s="1"/>
  <c r="Z10" i="31" s="1"/>
  <c r="AA10" i="31" s="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U9" i="31"/>
  <c r="W13" i="31" l="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AK10" i="31"/>
  <c r="U16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DO12" i="24"/>
  <c r="DO11" i="24"/>
  <c r="DO10" i="24"/>
  <c r="DO9" i="24"/>
  <c r="DO8" i="24"/>
  <c r="DO7" i="24"/>
  <c r="DO6" i="24"/>
  <c r="DN12" i="24"/>
  <c r="DN11" i="24"/>
  <c r="DN10" i="24"/>
  <c r="DN9" i="24"/>
  <c r="DN8" i="24"/>
  <c r="DN7" i="24"/>
  <c r="DN6" i="24"/>
  <c r="DM12" i="24"/>
  <c r="DM11" i="24"/>
  <c r="DM10" i="24"/>
  <c r="DM9" i="24"/>
  <c r="DM8" i="24"/>
  <c r="DM7" i="24"/>
  <c r="DM6" i="24"/>
  <c r="AI15" i="15" l="1"/>
  <c r="AJ14" i="15"/>
  <c r="AK13" i="31"/>
  <c r="AK15" i="31"/>
  <c r="AK9" i="31"/>
  <c r="AK12" i="31"/>
  <c r="AG16" i="31"/>
  <c r="AC16" i="31" s="1"/>
  <c r="W16" i="31"/>
  <c r="Z16" i="31" s="1"/>
  <c r="AA16" i="31" s="1"/>
  <c r="AJ16" i="31"/>
  <c r="AL16" i="31" s="1"/>
  <c r="CM6" i="24"/>
  <c r="AI16" i="15" l="1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U16" i="9" l="1"/>
  <c r="DG12" i="24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N17" i="12"/>
  <c r="O17" i="12"/>
  <c r="P17" i="12"/>
  <c r="R17" i="12"/>
  <c r="S17" i="12"/>
  <c r="T17" i="12"/>
  <c r="AR16" i="7" l="1"/>
  <c r="AS16" i="7"/>
  <c r="FJ13" i="25"/>
  <c r="FI13" i="25"/>
  <c r="FH13" i="25"/>
  <c r="FG13" i="25"/>
  <c r="FF13" i="25"/>
  <c r="FE13" i="25"/>
  <c r="FD13" i="25"/>
  <c r="FC13" i="25"/>
  <c r="EV13" i="25"/>
  <c r="EU13" i="25"/>
  <c r="ET13" i="25"/>
  <c r="ES13" i="25"/>
  <c r="ER13" i="25"/>
  <c r="EQ13" i="25"/>
  <c r="EP13" i="25"/>
  <c r="EO13" i="25"/>
  <c r="EH13" i="25"/>
  <c r="EG13" i="25"/>
  <c r="EF13" i="25"/>
  <c r="EE13" i="25"/>
  <c r="ED13" i="25"/>
  <c r="EC13" i="25"/>
  <c r="EB13" i="25"/>
  <c r="EA13" i="25"/>
  <c r="DT13" i="25"/>
  <c r="DS13" i="25"/>
  <c r="DR13" i="25"/>
  <c r="DQ13" i="25"/>
  <c r="DP13" i="25"/>
  <c r="DO13" i="25"/>
  <c r="DN13" i="25"/>
  <c r="DM13" i="25"/>
  <c r="DF13" i="25"/>
  <c r="DE13" i="25"/>
  <c r="DD13" i="25"/>
  <c r="DC13" i="25"/>
  <c r="DB13" i="25"/>
  <c r="DA13" i="25"/>
  <c r="CZ13" i="25"/>
  <c r="CY13" i="25"/>
  <c r="CR13" i="25"/>
  <c r="CQ13" i="25"/>
  <c r="CP13" i="25"/>
  <c r="CO13" i="25"/>
  <c r="CN13" i="25"/>
  <c r="CM13" i="25"/>
  <c r="CL13" i="25"/>
  <c r="CK13" i="25"/>
  <c r="CD13" i="25"/>
  <c r="CC13" i="25"/>
  <c r="CB13" i="25"/>
  <c r="CA13" i="25"/>
  <c r="BZ13" i="25"/>
  <c r="BY13" i="25"/>
  <c r="BX13" i="25"/>
  <c r="BW13" i="25"/>
  <c r="BP13" i="25"/>
  <c r="BO13" i="25"/>
  <c r="BN13" i="25"/>
  <c r="BM13" i="25"/>
  <c r="BL13" i="25"/>
  <c r="BK13" i="25"/>
  <c r="BJ13" i="25"/>
  <c r="BI13" i="25"/>
  <c r="BB13" i="25"/>
  <c r="BA13" i="25"/>
  <c r="AZ13" i="25"/>
  <c r="AY13" i="25"/>
  <c r="AX13" i="25"/>
  <c r="AW13" i="25"/>
  <c r="AV13" i="25"/>
  <c r="AU13" i="25"/>
  <c r="AN13" i="25"/>
  <c r="AM13" i="25"/>
  <c r="AL13" i="25"/>
  <c r="AK13" i="25"/>
  <c r="AJ13" i="25"/>
  <c r="AI13" i="25"/>
  <c r="AH13" i="25"/>
  <c r="AG13" i="25"/>
  <c r="Z13" i="25"/>
  <c r="Y13" i="25"/>
  <c r="X13" i="25"/>
  <c r="W13" i="25"/>
  <c r="V13" i="25"/>
  <c r="U13" i="25"/>
  <c r="T13" i="25"/>
  <c r="S13" i="25"/>
  <c r="F13" i="25"/>
  <c r="G13" i="25"/>
  <c r="H13" i="25"/>
  <c r="I13" i="25"/>
  <c r="J13" i="25"/>
  <c r="K13" i="25"/>
  <c r="L13" i="25"/>
  <c r="E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F13" i="23"/>
  <c r="BE13" i="23"/>
  <c r="BD13" i="23"/>
  <c r="BC13" i="23"/>
  <c r="BB13" i="23"/>
  <c r="BA13" i="23"/>
  <c r="AZ13" i="23"/>
  <c r="AS13" i="23"/>
  <c r="AR13" i="23"/>
  <c r="AQ13" i="23"/>
  <c r="AP13" i="23"/>
  <c r="AO13" i="23"/>
  <c r="AN13" i="23"/>
  <c r="AM13" i="23"/>
  <c r="AL13" i="23"/>
  <c r="F13" i="23"/>
  <c r="G13" i="23"/>
  <c r="H13" i="23"/>
  <c r="I13" i="23"/>
  <c r="J13" i="23"/>
  <c r="K13" i="23"/>
  <c r="L13" i="23"/>
  <c r="E13" i="23"/>
  <c r="DN13" i="24"/>
  <c r="DO13" i="24"/>
  <c r="DP13" i="24"/>
  <c r="DQ13" i="24"/>
  <c r="DR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B13" i="24"/>
  <c r="CC13" i="24"/>
  <c r="CD13" i="24"/>
  <c r="BW13" i="24"/>
  <c r="AH13" i="24"/>
  <c r="AI13" i="24"/>
  <c r="AJ13" i="24"/>
  <c r="AK13" i="24"/>
  <c r="AL13" i="24"/>
  <c r="AM13" i="24"/>
  <c r="AN13" i="24"/>
  <c r="AG13" i="24"/>
  <c r="T13" i="24"/>
  <c r="U13" i="24"/>
  <c r="V13" i="24"/>
  <c r="W13" i="24"/>
  <c r="X13" i="24"/>
  <c r="Y13" i="24"/>
  <c r="Z13" i="24"/>
  <c r="S13" i="24"/>
  <c r="G13" i="24"/>
  <c r="H13" i="24"/>
  <c r="I13" i="24"/>
  <c r="J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AB13" i="25"/>
  <c r="DI11" i="24"/>
  <c r="DJ6" i="24"/>
  <c r="DH9" i="24"/>
  <c r="DK9" i="24" s="1"/>
  <c r="DJ7" i="24"/>
  <c r="BR13" i="25"/>
  <c r="O13" i="25"/>
  <c r="EK13" i="25"/>
  <c r="CK13" i="23"/>
  <c r="AR13" i="24"/>
  <c r="AD13" i="24"/>
  <c r="CG13" i="24"/>
  <c r="P13" i="23"/>
  <c r="CF13" i="25"/>
  <c r="AD13" i="25"/>
  <c r="CH13" i="25"/>
  <c r="EZ13" i="25"/>
  <c r="DV13" i="24"/>
  <c r="DW13" i="25"/>
  <c r="EX13" i="25"/>
  <c r="N13" i="25"/>
  <c r="EJ13" i="25"/>
  <c r="O13" i="23"/>
  <c r="BK13" i="23"/>
  <c r="DN13" i="23"/>
  <c r="AC13" i="24"/>
  <c r="CF13" i="24"/>
  <c r="AQ13" i="25"/>
  <c r="AU13" i="23"/>
  <c r="BX13" i="23"/>
  <c r="AP13" i="24"/>
  <c r="AW13" i="23"/>
  <c r="CY13" i="23"/>
  <c r="P13" i="24"/>
  <c r="AR13" i="25"/>
  <c r="DJ13" i="25"/>
  <c r="DV13" i="25"/>
  <c r="FN13" i="25"/>
  <c r="DA13" i="23"/>
  <c r="O13" i="24"/>
  <c r="CH13" i="24"/>
  <c r="BE13" i="25"/>
  <c r="BS13" i="25"/>
  <c r="BJ13" i="23"/>
  <c r="DM13" i="23"/>
  <c r="DW13" i="24"/>
  <c r="CM13" i="23"/>
  <c r="CU6" i="25"/>
  <c r="FM13" i="25"/>
  <c r="BW13" i="23"/>
  <c r="AB13" i="24"/>
  <c r="P13" i="25"/>
  <c r="BT13" i="25"/>
  <c r="EL13" i="25"/>
  <c r="BD13" i="25"/>
  <c r="CG13" i="25"/>
  <c r="AV13" i="23"/>
  <c r="CZ13" i="23"/>
  <c r="N13" i="24"/>
  <c r="BF13" i="25"/>
  <c r="DX13" i="25"/>
  <c r="AC13" i="25"/>
  <c r="BY13" i="23"/>
  <c r="AQ13" i="24"/>
  <c r="EY13" i="25"/>
  <c r="AP13" i="25"/>
  <c r="BI13" i="23"/>
  <c r="DL13" i="23"/>
  <c r="DX13" i="24"/>
  <c r="CL13" i="23"/>
  <c r="FL13" i="25"/>
  <c r="DH13" i="25"/>
  <c r="DI13" i="25"/>
  <c r="CV8" i="25"/>
  <c r="N13" i="23"/>
  <c r="CV7" i="25"/>
  <c r="CV6" i="25"/>
  <c r="CT6" i="25"/>
  <c r="CV9" i="25"/>
  <c r="CV10" i="25"/>
  <c r="CV11" i="25"/>
  <c r="CV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CU13" i="25"/>
  <c r="CV13" i="25"/>
  <c r="DH13" i="24"/>
  <c r="CT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O10" i="20"/>
  <c r="O11" i="20"/>
  <c r="O12" i="20"/>
  <c r="O13" i="20"/>
  <c r="O14" i="20"/>
  <c r="O15" i="20"/>
  <c r="O16" i="20"/>
  <c r="E23" i="30" s="1"/>
  <c r="O9" i="20"/>
  <c r="I10" i="20"/>
  <c r="R10" i="20" s="1"/>
  <c r="I11" i="20"/>
  <c r="R11" i="20" s="1"/>
  <c r="I12" i="20"/>
  <c r="R12" i="20" s="1"/>
  <c r="I13" i="20"/>
  <c r="R13" i="20" s="1"/>
  <c r="I14" i="20"/>
  <c r="R14" i="20" s="1"/>
  <c r="S14" i="20" s="1"/>
  <c r="I15" i="20"/>
  <c r="R15" i="20" s="1"/>
  <c r="I9" i="20"/>
  <c r="R9" i="20" s="1"/>
  <c r="T11" i="20"/>
  <c r="AB10" i="19"/>
  <c r="AB11" i="19"/>
  <c r="AB12" i="19"/>
  <c r="AB13" i="19"/>
  <c r="AB14" i="19"/>
  <c r="AB15" i="19"/>
  <c r="AB16" i="19"/>
  <c r="E22" i="30" s="1"/>
  <c r="AB9" i="19"/>
  <c r="AE16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AE9" i="19" s="1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O10" i="18"/>
  <c r="O11" i="18"/>
  <c r="O12" i="18"/>
  <c r="O13" i="18"/>
  <c r="O14" i="18"/>
  <c r="O15" i="18"/>
  <c r="O16" i="18"/>
  <c r="E21" i="30" s="1"/>
  <c r="O9" i="18"/>
  <c r="AN12" i="27"/>
  <c r="I15" i="18" s="1"/>
  <c r="R15" i="18" s="1"/>
  <c r="O10" i="17"/>
  <c r="O11" i="17"/>
  <c r="O12" i="17"/>
  <c r="O13" i="17"/>
  <c r="O14" i="17"/>
  <c r="O15" i="17"/>
  <c r="O16" i="17"/>
  <c r="E20" i="30" s="1"/>
  <c r="O9" i="17"/>
  <c r="AH6" i="27"/>
  <c r="I9" i="17" s="1"/>
  <c r="R9" i="17" s="1"/>
  <c r="AH12" i="27"/>
  <c r="I15" i="17" s="1"/>
  <c r="R15" i="17" s="1"/>
  <c r="AH10" i="19" l="1"/>
  <c r="AI10" i="19" s="1"/>
  <c r="U14" i="20"/>
  <c r="V14" i="20" s="1"/>
  <c r="AF16" i="19"/>
  <c r="S13" i="20"/>
  <c r="AF14" i="19"/>
  <c r="AF13" i="19"/>
  <c r="AF12" i="19"/>
  <c r="S12" i="20"/>
  <c r="I16" i="20"/>
  <c r="R16" i="20" s="1"/>
  <c r="S16" i="20" s="1"/>
  <c r="M16" i="19"/>
  <c r="I16" i="19"/>
  <c r="N16" i="19"/>
  <c r="P16" i="19"/>
  <c r="L16" i="19"/>
  <c r="K16" i="19"/>
  <c r="J16" i="19"/>
  <c r="O16" i="19"/>
  <c r="W11" i="20"/>
  <c r="R16" i="19"/>
  <c r="S16" i="19"/>
  <c r="T16" i="19"/>
  <c r="R16" i="4"/>
  <c r="Q16" i="4"/>
  <c r="P11" i="20"/>
  <c r="Q11" i="20" s="1"/>
  <c r="S10" i="20"/>
  <c r="S15" i="20"/>
  <c r="S11" i="20"/>
  <c r="AF15" i="19"/>
  <c r="AF11" i="19"/>
  <c r="S15" i="18"/>
  <c r="S15" i="17"/>
  <c r="AH16" i="19" l="1"/>
  <c r="AI16" i="19" s="1"/>
  <c r="AH15" i="19"/>
  <c r="AI15" i="19" s="1"/>
  <c r="AH11" i="19"/>
  <c r="AI11" i="19" s="1"/>
  <c r="U16" i="20"/>
  <c r="V16" i="20" s="1"/>
  <c r="AH14" i="19"/>
  <c r="AI14" i="19" s="1"/>
  <c r="U15" i="20"/>
  <c r="V15" i="20" s="1"/>
  <c r="U10" i="20"/>
  <c r="V10" i="20" s="1"/>
  <c r="U13" i="20"/>
  <c r="V13" i="20" s="1"/>
  <c r="U15" i="18"/>
  <c r="V15" i="18" s="1"/>
  <c r="U11" i="20"/>
  <c r="V11" i="20" s="1"/>
  <c r="Y11" i="20" s="1"/>
  <c r="U12" i="20"/>
  <c r="V12" i="20" s="1"/>
  <c r="AH12" i="19"/>
  <c r="AI12" i="19" s="1"/>
  <c r="AH13" i="19"/>
  <c r="AI13" i="19" s="1"/>
  <c r="U15" i="17"/>
  <c r="V15" i="17" s="1"/>
  <c r="X11" i="20" l="1"/>
  <c r="O10" i="16"/>
  <c r="O11" i="16"/>
  <c r="O12" i="16"/>
  <c r="O13" i="16"/>
  <c r="O14" i="16"/>
  <c r="O15" i="16"/>
  <c r="O16" i="16"/>
  <c r="E19" i="30" s="1"/>
  <c r="O9" i="16"/>
  <c r="I10" i="16"/>
  <c r="R10" i="16" s="1"/>
  <c r="I11" i="16"/>
  <c r="R11" i="16" s="1"/>
  <c r="I12" i="16"/>
  <c r="R12" i="16" s="1"/>
  <c r="S12" i="16" s="1"/>
  <c r="I13" i="16"/>
  <c r="R13" i="16" s="1"/>
  <c r="S13" i="16" s="1"/>
  <c r="I14" i="16"/>
  <c r="R14" i="16" s="1"/>
  <c r="I15" i="16"/>
  <c r="R15" i="16" s="1"/>
  <c r="I9" i="16"/>
  <c r="R9" i="16" s="1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U12" i="16" l="1"/>
  <c r="V12" i="16" s="1"/>
  <c r="U13" i="16"/>
  <c r="V13" i="16" s="1"/>
  <c r="S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S15" i="16"/>
  <c r="S11" i="16"/>
  <c r="I16" i="16"/>
  <c r="R16" i="16" s="1"/>
  <c r="S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AE16" i="11"/>
  <c r="AF16" i="11" s="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AE9" i="11" s="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W15" i="17"/>
  <c r="Y15" i="17" s="1"/>
  <c r="T15" i="16"/>
  <c r="P15" i="16" s="1"/>
  <c r="Q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AH16" i="11" l="1"/>
  <c r="AI16" i="11" s="1"/>
  <c r="AH13" i="11"/>
  <c r="AI13" i="11" s="1"/>
  <c r="U10" i="16"/>
  <c r="V10" i="16" s="1"/>
  <c r="U11" i="16"/>
  <c r="V11" i="16" s="1"/>
  <c r="U15" i="16"/>
  <c r="V15" i="16" s="1"/>
  <c r="AH14" i="8"/>
  <c r="AI14" i="8" s="1"/>
  <c r="AH13" i="8"/>
  <c r="AI13" i="8" s="1"/>
  <c r="U14" i="16"/>
  <c r="V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W15" i="16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T15" i="20"/>
  <c r="P15" i="20" s="1"/>
  <c r="Q15" i="20" s="1"/>
  <c r="W15" i="20"/>
  <c r="Y15" i="20" s="1"/>
  <c r="T15" i="17"/>
  <c r="P15" i="17" s="1"/>
  <c r="Q15" i="17" s="1"/>
  <c r="T15" i="18"/>
  <c r="P15" i="18" s="1"/>
  <c r="Q15" i="18" s="1"/>
  <c r="W15" i="18"/>
  <c r="Y15" i="18" s="1"/>
  <c r="X15" i="17"/>
  <c r="V16" i="8"/>
  <c r="AE16" i="8" s="1"/>
  <c r="AF16" i="8" s="1"/>
  <c r="S16" i="16"/>
  <c r="AF14" i="11"/>
  <c r="AE10" i="11"/>
  <c r="AF10" i="11" s="1"/>
  <c r="AF15" i="11"/>
  <c r="AF11" i="11"/>
  <c r="AE15" i="9"/>
  <c r="AE13" i="9"/>
  <c r="AD14" i="9"/>
  <c r="AE14" i="9" s="1"/>
  <c r="AD11" i="9"/>
  <c r="AE12" i="9"/>
  <c r="Y15" i="16" l="1"/>
  <c r="AH10" i="11"/>
  <c r="AI10" i="11" s="1"/>
  <c r="U16" i="16"/>
  <c r="V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X15" i="16"/>
  <c r="AG15" i="9"/>
  <c r="AH15" i="9" s="1"/>
  <c r="AH14" i="11"/>
  <c r="AI14" i="11" s="1"/>
  <c r="AH11" i="11"/>
  <c r="AI11" i="11" s="1"/>
  <c r="AH15" i="11"/>
  <c r="AI15" i="11" s="1"/>
  <c r="X15" i="18"/>
  <c r="X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FO7" i="25"/>
  <c r="FA7" i="25"/>
  <c r="EM7" i="25"/>
  <c r="DY7" i="25"/>
  <c r="DK7" i="25"/>
  <c r="BU7" i="25"/>
  <c r="BG7" i="25"/>
  <c r="AQ10" i="12" s="1"/>
  <c r="AS7" i="25"/>
  <c r="AE7" i="25"/>
  <c r="Q7" i="25"/>
  <c r="FO8" i="25"/>
  <c r="FA8" i="25"/>
  <c r="EM8" i="25"/>
  <c r="DY8" i="25"/>
  <c r="DK8" i="25"/>
  <c r="BG8" i="25"/>
  <c r="AQ11" i="12" s="1"/>
  <c r="AS8" i="25"/>
  <c r="AP11" i="12" s="1"/>
  <c r="AE8" i="25"/>
  <c r="Q8" i="25"/>
  <c r="FO9" i="25"/>
  <c r="FA9" i="25"/>
  <c r="EM9" i="25"/>
  <c r="DY9" i="25"/>
  <c r="DK9" i="25"/>
  <c r="BG9" i="25"/>
  <c r="AQ12" i="12" s="1"/>
  <c r="AS9" i="25"/>
  <c r="AP12" i="12" s="1"/>
  <c r="AE9" i="25"/>
  <c r="Q9" i="25"/>
  <c r="FO10" i="25"/>
  <c r="FA10" i="25"/>
  <c r="EM10" i="25"/>
  <c r="DY10" i="25"/>
  <c r="DK10" i="25"/>
  <c r="BG10" i="25"/>
  <c r="AS10" i="25"/>
  <c r="AP13" i="12" s="1"/>
  <c r="AE10" i="25"/>
  <c r="Q10" i="25"/>
  <c r="FO11" i="25"/>
  <c r="FA11" i="25"/>
  <c r="EM11" i="25"/>
  <c r="DY11" i="25"/>
  <c r="DK11" i="25"/>
  <c r="BG11" i="25"/>
  <c r="AQ14" i="12" s="1"/>
  <c r="AS11" i="25"/>
  <c r="AP14" i="12" s="1"/>
  <c r="AE11" i="25"/>
  <c r="Q11" i="25"/>
  <c r="FO12" i="25"/>
  <c r="FA12" i="25"/>
  <c r="EM12" i="25"/>
  <c r="DY12" i="25"/>
  <c r="DK12" i="25"/>
  <c r="BG12" i="25"/>
  <c r="AQ15" i="12" s="1"/>
  <c r="AS12" i="25"/>
  <c r="AP15" i="12" s="1"/>
  <c r="AE12" i="25"/>
  <c r="Q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AG12" i="10" l="1"/>
  <c r="AH12" i="10" s="1"/>
  <c r="AH16" i="7"/>
  <c r="AI16" i="7" s="1"/>
  <c r="AG16" i="10"/>
  <c r="AH16" i="10" s="1"/>
  <c r="U11" i="12"/>
  <c r="U15" i="12"/>
  <c r="U14" i="12"/>
  <c r="U12" i="12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Q13" i="12"/>
  <c r="U13" i="12" s="1"/>
  <c r="Q12" i="11"/>
  <c r="U12" i="11" s="1"/>
  <c r="AJ12" i="11" s="1"/>
  <c r="AL12" i="11" s="1"/>
  <c r="BU9" i="25"/>
  <c r="Q11" i="19"/>
  <c r="U11" i="19" s="1"/>
  <c r="AG11" i="19" s="1"/>
  <c r="AC11" i="19" s="1"/>
  <c r="AD11" i="19" s="1"/>
  <c r="CI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BU10" i="25"/>
  <c r="Q12" i="19"/>
  <c r="U12" i="19" s="1"/>
  <c r="AG12" i="19" s="1"/>
  <c r="AC12" i="19" s="1"/>
  <c r="AD12" i="19" s="1"/>
  <c r="CI9" i="25"/>
  <c r="Q13" i="19"/>
  <c r="U13" i="19" s="1"/>
  <c r="AG13" i="19" s="1"/>
  <c r="AC13" i="19" s="1"/>
  <c r="AD13" i="19" s="1"/>
  <c r="CI10" i="25"/>
  <c r="P13" i="15"/>
  <c r="BL10" i="23"/>
  <c r="Q15" i="11"/>
  <c r="U15" i="11" s="1"/>
  <c r="AG15" i="11" s="1"/>
  <c r="AC15" i="11" s="1"/>
  <c r="AD15" i="11" s="1"/>
  <c r="BU12" i="25"/>
  <c r="Q14" i="19"/>
  <c r="U14" i="19" s="1"/>
  <c r="AG14" i="19" s="1"/>
  <c r="AC14" i="19" s="1"/>
  <c r="AD14" i="19" s="1"/>
  <c r="CI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CI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BU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P10" i="12"/>
  <c r="U10" i="12" s="1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BU8" i="25"/>
  <c r="Q10" i="19"/>
  <c r="U10" i="19" s="1"/>
  <c r="AJ10" i="19" s="1"/>
  <c r="AL10" i="19" s="1"/>
  <c r="CI7" i="25"/>
  <c r="T10" i="20"/>
  <c r="P10" i="20" s="1"/>
  <c r="Q10" i="20" s="1"/>
  <c r="W10" i="20"/>
  <c r="Y10" i="20" s="1"/>
  <c r="T13" i="16"/>
  <c r="P13" i="16" s="1"/>
  <c r="Q13" i="16" s="1"/>
  <c r="W13" i="16"/>
  <c r="Y13" i="16" s="1"/>
  <c r="T11" i="16"/>
  <c r="P11" i="16" s="1"/>
  <c r="Q11" i="16" s="1"/>
  <c r="W11" i="16"/>
  <c r="Y11" i="16" s="1"/>
  <c r="T13" i="20"/>
  <c r="P13" i="20" s="1"/>
  <c r="Q13" i="20" s="1"/>
  <c r="W13" i="20"/>
  <c r="Y13" i="20" s="1"/>
  <c r="T12" i="18"/>
  <c r="W12" i="18"/>
  <c r="W14" i="18"/>
  <c r="T14" i="18"/>
  <c r="T10" i="18"/>
  <c r="W10" i="18"/>
  <c r="T12" i="17"/>
  <c r="W12" i="17"/>
  <c r="T14" i="17"/>
  <c r="W14" i="17"/>
  <c r="W10" i="17"/>
  <c r="T10" i="17"/>
  <c r="T12" i="16"/>
  <c r="P12" i="16" s="1"/>
  <c r="Q12" i="16" s="1"/>
  <c r="W12" i="16"/>
  <c r="Y12" i="16" s="1"/>
  <c r="T14" i="16"/>
  <c r="P14" i="16" s="1"/>
  <c r="Q14" i="16" s="1"/>
  <c r="W14" i="16"/>
  <c r="Y14" i="16" s="1"/>
  <c r="T10" i="16"/>
  <c r="P10" i="16" s="1"/>
  <c r="Q10" i="16" s="1"/>
  <c r="W10" i="16"/>
  <c r="Y10" i="16" s="1"/>
  <c r="T12" i="20"/>
  <c r="P12" i="20" s="1"/>
  <c r="Q12" i="20" s="1"/>
  <c r="W12" i="20"/>
  <c r="Y12" i="20" s="1"/>
  <c r="T14" i="20"/>
  <c r="P14" i="20" s="1"/>
  <c r="Q14" i="20" s="1"/>
  <c r="W14" i="20"/>
  <c r="Y14" i="20" s="1"/>
  <c r="T13" i="18"/>
  <c r="W13" i="18"/>
  <c r="T13" i="17"/>
  <c r="W13" i="17"/>
  <c r="T11" i="18"/>
  <c r="W11" i="18"/>
  <c r="W11" i="17"/>
  <c r="T11" i="17"/>
  <c r="T13" i="15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W14" i="19" l="1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V12" i="15" s="1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CW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CW12" i="25"/>
  <c r="P14" i="13"/>
  <c r="T14" i="13" s="1"/>
  <c r="AF14" i="13" s="1"/>
  <c r="CW11" i="25"/>
  <c r="AG10" i="19"/>
  <c r="AC10" i="19" s="1"/>
  <c r="AD10" i="19" s="1"/>
  <c r="AJ12" i="19"/>
  <c r="AL12" i="19" s="1"/>
  <c r="P13" i="13"/>
  <c r="T13" i="13" s="1"/>
  <c r="AI13" i="13" s="1"/>
  <c r="CW10" i="25"/>
  <c r="AJ14" i="8"/>
  <c r="AL14" i="8" s="1"/>
  <c r="AJ13" i="8"/>
  <c r="AJ10" i="6"/>
  <c r="P12" i="13"/>
  <c r="T12" i="13" s="1"/>
  <c r="AI12" i="13" s="1"/>
  <c r="CW9" i="25"/>
  <c r="P11" i="13"/>
  <c r="T11" i="13" s="1"/>
  <c r="AF11" i="13" s="1"/>
  <c r="CW8" i="25"/>
  <c r="X11" i="16"/>
  <c r="AK13" i="7"/>
  <c r="X14" i="16"/>
  <c r="X12" i="16"/>
  <c r="AG9" i="6"/>
  <c r="U16" i="6"/>
  <c r="U27" i="6" s="1"/>
  <c r="AJ9" i="6"/>
  <c r="AK11" i="7"/>
  <c r="X14" i="20"/>
  <c r="X13" i="20"/>
  <c r="H16" i="20"/>
  <c r="T9" i="20"/>
  <c r="W9" i="20"/>
  <c r="X10" i="16"/>
  <c r="AK10" i="7"/>
  <c r="X13" i="16"/>
  <c r="X12" i="20"/>
  <c r="X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AJ14" i="9"/>
  <c r="W10" i="11"/>
  <c r="AG10" i="11"/>
  <c r="AC10" i="11" s="1"/>
  <c r="AD10" i="11" s="1"/>
  <c r="AJ10" i="11"/>
  <c r="AL10" i="11" s="1"/>
  <c r="AK12" i="11"/>
  <c r="AK13" i="11"/>
  <c r="AK10" i="8" l="1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T16" i="20"/>
  <c r="P16" i="20" s="1"/>
  <c r="W16" i="20"/>
  <c r="Y16" i="20" s="1"/>
  <c r="H16" i="16"/>
  <c r="T9" i="16"/>
  <c r="W9" i="16"/>
  <c r="AK10" i="11"/>
  <c r="Q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AI15" i="4"/>
  <c r="AK15" i="4" s="1"/>
  <c r="AJ13" i="4"/>
  <c r="AN13" i="5"/>
  <c r="AO13" i="5" s="1"/>
  <c r="AP14" i="5"/>
  <c r="AQ11" i="5"/>
  <c r="AS11" i="5" s="1"/>
  <c r="W16" i="16"/>
  <c r="Y16" i="16" s="1"/>
  <c r="T16" i="16"/>
  <c r="P16" i="16" s="1"/>
  <c r="T9" i="17"/>
  <c r="H16" i="17"/>
  <c r="W9" i="17"/>
  <c r="X16" i="20"/>
  <c r="T9" i="18"/>
  <c r="W9" i="18"/>
  <c r="H16" i="18"/>
  <c r="Q16" i="16" l="1"/>
  <c r="F19" i="30"/>
  <c r="G19" i="30" s="1"/>
  <c r="AJ10" i="4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Z15" i="4"/>
  <c r="G12" i="21"/>
  <c r="AQ14" i="5"/>
  <c r="AS14" i="5" s="1"/>
  <c r="AN14" i="5"/>
  <c r="AO14" i="5" s="1"/>
  <c r="FA6" i="25"/>
  <c r="FA13" i="25" s="1"/>
  <c r="EW13" i="25"/>
  <c r="EI13" i="25"/>
  <c r="EM6" i="25"/>
  <c r="EM13" i="25" s="1"/>
  <c r="FO6" i="25"/>
  <c r="FO13" i="25" s="1"/>
  <c r="FK13" i="25"/>
  <c r="DG13" i="25"/>
  <c r="DK6" i="25"/>
  <c r="DK13" i="25" s="1"/>
  <c r="DU13" i="25"/>
  <c r="DY6" i="25"/>
  <c r="DY13" i="25" s="1"/>
  <c r="W16" i="17"/>
  <c r="T16" i="17"/>
  <c r="T16" i="18"/>
  <c r="W16" i="18"/>
  <c r="X16" i="16"/>
  <c r="CS6" i="25"/>
  <c r="AV12" i="5" l="1"/>
  <c r="AT14" i="5"/>
  <c r="AW14" i="5" s="1"/>
  <c r="AV11" i="5"/>
  <c r="AE6" i="24"/>
  <c r="AE13" i="24" s="1"/>
  <c r="Q6" i="25"/>
  <c r="Q13" i="25" s="1"/>
  <c r="M13" i="25"/>
  <c r="Q9" i="8"/>
  <c r="U9" i="8" s="1"/>
  <c r="U16" i="8" s="1"/>
  <c r="AX6" i="23"/>
  <c r="AX13" i="23" s="1"/>
  <c r="AT13" i="23"/>
  <c r="BG6" i="25"/>
  <c r="BC13" i="25"/>
  <c r="BU6" i="25"/>
  <c r="BU13" i="25" s="1"/>
  <c r="BQ13" i="25"/>
  <c r="AE6" i="25"/>
  <c r="AE13" i="25" s="1"/>
  <c r="AA13" i="25"/>
  <c r="AC9" i="15"/>
  <c r="AC16" i="15" s="1"/>
  <c r="BZ6" i="23"/>
  <c r="BZ13" i="23" s="1"/>
  <c r="BV13" i="23"/>
  <c r="Q9" i="19"/>
  <c r="Q16" i="19" s="1"/>
  <c r="U16" i="19" s="1"/>
  <c r="CI6" i="25"/>
  <c r="CI13" i="25" s="1"/>
  <c r="CE13" i="25"/>
  <c r="P9" i="10"/>
  <c r="DO6" i="23"/>
  <c r="DO13" i="23" s="1"/>
  <c r="DK13" i="23"/>
  <c r="P9" i="13"/>
  <c r="T9" i="13" s="1"/>
  <c r="CW6" i="25"/>
  <c r="CW13" i="25" s="1"/>
  <c r="CS13" i="25"/>
  <c r="AS6" i="25"/>
  <c r="AO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Q9" i="12"/>
  <c r="BG13" i="25"/>
  <c r="AP9" i="12"/>
  <c r="AS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I14" i="18" s="1"/>
  <c r="R14" i="18" s="1"/>
  <c r="AH11" i="27"/>
  <c r="I14" i="17" s="1"/>
  <c r="R14" i="17" s="1"/>
  <c r="Z11" i="27"/>
  <c r="V14" i="12" s="1"/>
  <c r="AE14" i="12" s="1"/>
  <c r="AF14" i="12" s="1"/>
  <c r="L11" i="27"/>
  <c r="G11" i="27"/>
  <c r="V14" i="6" s="1"/>
  <c r="AN10" i="27"/>
  <c r="I13" i="18" s="1"/>
  <c r="R13" i="18" s="1"/>
  <c r="AH10" i="27"/>
  <c r="I13" i="17" s="1"/>
  <c r="R13" i="17" s="1"/>
  <c r="Z10" i="27"/>
  <c r="V13" i="12" s="1"/>
  <c r="AE13" i="12" s="1"/>
  <c r="AF13" i="12" s="1"/>
  <c r="L10" i="27"/>
  <c r="G10" i="27"/>
  <c r="V13" i="6" s="1"/>
  <c r="AN9" i="27"/>
  <c r="I12" i="18" s="1"/>
  <c r="R12" i="18" s="1"/>
  <c r="AH9" i="27"/>
  <c r="I12" i="17" s="1"/>
  <c r="R12" i="17" s="1"/>
  <c r="Z9" i="27"/>
  <c r="V12" i="12" s="1"/>
  <c r="AE12" i="12" s="1"/>
  <c r="AF12" i="12" s="1"/>
  <c r="L9" i="27"/>
  <c r="G9" i="27"/>
  <c r="V12" i="6" s="1"/>
  <c r="AN8" i="27"/>
  <c r="I11" i="18" s="1"/>
  <c r="R11" i="18" s="1"/>
  <c r="AH8" i="27"/>
  <c r="I11" i="17" s="1"/>
  <c r="R11" i="17" s="1"/>
  <c r="Z8" i="27"/>
  <c r="V11" i="12" s="1"/>
  <c r="AE11" i="12" s="1"/>
  <c r="AF11" i="12" s="1"/>
  <c r="L8" i="27"/>
  <c r="G8" i="27"/>
  <c r="V11" i="6" s="1"/>
  <c r="AN7" i="27"/>
  <c r="I10" i="18" s="1"/>
  <c r="R10" i="18" s="1"/>
  <c r="AH7" i="27"/>
  <c r="I10" i="17" s="1"/>
  <c r="Z7" i="27"/>
  <c r="V10" i="12" s="1"/>
  <c r="AE10" i="12" s="1"/>
  <c r="AF10" i="12" s="1"/>
  <c r="L7" i="27"/>
  <c r="G7" i="27"/>
  <c r="V10" i="6" s="1"/>
  <c r="AN6" i="27"/>
  <c r="I9" i="18" s="1"/>
  <c r="R9" i="18" s="1"/>
  <c r="Z6" i="27"/>
  <c r="V9" i="12" s="1"/>
  <c r="AE9" i="12" s="1"/>
  <c r="L6" i="27"/>
  <c r="G6" i="27"/>
  <c r="V9" i="6" s="1"/>
  <c r="J15" i="16"/>
  <c r="H40" i="18"/>
  <c r="H42" i="16"/>
  <c r="H46" i="18"/>
  <c r="H45" i="18"/>
  <c r="H51" i="18"/>
  <c r="C2" i="26"/>
  <c r="C2" i="25"/>
  <c r="C2" i="24"/>
  <c r="H20" i="6"/>
  <c r="W20" i="6" s="1"/>
  <c r="H18" i="6"/>
  <c r="W18" i="6" s="1"/>
  <c r="S1" i="22"/>
  <c r="Q1" i="21"/>
  <c r="S9" i="20"/>
  <c r="J15" i="20"/>
  <c r="J14" i="20"/>
  <c r="J12" i="20"/>
  <c r="K2" i="20"/>
  <c r="X2" i="19"/>
  <c r="I52" i="18"/>
  <c r="I51" i="18"/>
  <c r="I49" i="18"/>
  <c r="I45" i="18"/>
  <c r="I44" i="18"/>
  <c r="I43" i="18"/>
  <c r="I42" i="18"/>
  <c r="I39" i="18"/>
  <c r="I38" i="18"/>
  <c r="I37" i="18"/>
  <c r="H44" i="18"/>
  <c r="H39" i="18"/>
  <c r="H52" i="18"/>
  <c r="H42" i="18"/>
  <c r="H49" i="18"/>
  <c r="J15" i="18"/>
  <c r="H48" i="18"/>
  <c r="K2" i="18"/>
  <c r="S9" i="17"/>
  <c r="J15" i="17"/>
  <c r="K2" i="17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H37" i="16"/>
  <c r="H45" i="16"/>
  <c r="H38" i="16"/>
  <c r="H35" i="16"/>
  <c r="H33" i="16"/>
  <c r="H40" i="16"/>
  <c r="J11" i="16"/>
  <c r="H39" i="16"/>
  <c r="H34" i="16"/>
  <c r="K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Q16" i="12"/>
  <c r="AZ14" i="12"/>
  <c r="AW14" i="12"/>
  <c r="AX14" i="12" s="1"/>
  <c r="AY14" i="12" s="1"/>
  <c r="AZ13" i="12"/>
  <c r="AW13" i="12"/>
  <c r="AX13" i="12" s="1"/>
  <c r="AY13" i="12" s="1"/>
  <c r="AZ12" i="12"/>
  <c r="AW12" i="12"/>
  <c r="AX12" i="12" s="1"/>
  <c r="AY12" i="12" s="1"/>
  <c r="AZ11" i="12"/>
  <c r="AW11" i="12"/>
  <c r="AX11" i="12" s="1"/>
  <c r="AY11" i="12" s="1"/>
  <c r="AZ10" i="12"/>
  <c r="AW10" i="12"/>
  <c r="AX10" i="12" s="1"/>
  <c r="AY10" i="12" s="1"/>
  <c r="AZ9" i="12"/>
  <c r="AW9" i="12"/>
  <c r="AX9" i="12" s="1"/>
  <c r="AY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AP16" i="5" l="1"/>
  <c r="AQ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U9" i="17"/>
  <c r="V9" i="17" s="1"/>
  <c r="AS16" i="5"/>
  <c r="AT16" i="5" s="1"/>
  <c r="U9" i="20"/>
  <c r="V9" i="20" s="1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I16" i="18"/>
  <c r="J16" i="18" s="1"/>
  <c r="M16" i="18" s="1"/>
  <c r="U13" i="21" s="1"/>
  <c r="S13" i="18"/>
  <c r="P13" i="18"/>
  <c r="Q13" i="18" s="1"/>
  <c r="S11" i="18"/>
  <c r="P11" i="18"/>
  <c r="Q11" i="18" s="1"/>
  <c r="I40" i="18"/>
  <c r="S14" i="18"/>
  <c r="P14" i="18"/>
  <c r="Q14" i="18" s="1"/>
  <c r="I46" i="18"/>
  <c r="S12" i="18"/>
  <c r="P12" i="18"/>
  <c r="Q12" i="18" s="1"/>
  <c r="I47" i="18"/>
  <c r="S10" i="18"/>
  <c r="P10" i="18"/>
  <c r="Q10" i="18" s="1"/>
  <c r="I48" i="18"/>
  <c r="I36" i="18"/>
  <c r="I41" i="18"/>
  <c r="J13" i="17"/>
  <c r="M13" i="17" s="1"/>
  <c r="T10" i="21" s="1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Z16" i="9" s="1"/>
  <c r="AI9" i="9"/>
  <c r="U9" i="12"/>
  <c r="U17" i="12" s="1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AA16" i="11" s="1"/>
  <c r="W9" i="11"/>
  <c r="Z9" i="11" s="1"/>
  <c r="AJ9" i="11"/>
  <c r="W16" i="7"/>
  <c r="Z16" i="7" s="1"/>
  <c r="AA16" i="7" s="1"/>
  <c r="AG16" i="7"/>
  <c r="AC16" i="7" s="1"/>
  <c r="S8" i="14"/>
  <c r="M10" i="14"/>
  <c r="N12" i="14"/>
  <c r="M8" i="14"/>
  <c r="M11" i="14"/>
  <c r="AK16" i="19"/>
  <c r="AK16" i="7"/>
  <c r="AK16" i="8"/>
  <c r="T16" i="5"/>
  <c r="AR9" i="5"/>
  <c r="AU9" i="5"/>
  <c r="M12" i="20"/>
  <c r="W9" i="21" s="1"/>
  <c r="M14" i="20"/>
  <c r="W11" i="21" s="1"/>
  <c r="M15" i="20"/>
  <c r="W12" i="21" s="1"/>
  <c r="Z13" i="19"/>
  <c r="J12" i="17"/>
  <c r="M12" i="17" s="1"/>
  <c r="T9" i="21" s="1"/>
  <c r="P12" i="17"/>
  <c r="Q12" i="17" s="1"/>
  <c r="S12" i="17"/>
  <c r="R10" i="17"/>
  <c r="I16" i="17"/>
  <c r="J16" i="17" s="1"/>
  <c r="M16" i="17" s="1"/>
  <c r="T13" i="21" s="1"/>
  <c r="S13" i="17"/>
  <c r="P13" i="17"/>
  <c r="Q13" i="17" s="1"/>
  <c r="S11" i="17"/>
  <c r="P11" i="17"/>
  <c r="Q11" i="17" s="1"/>
  <c r="S14" i="17"/>
  <c r="P14" i="17"/>
  <c r="Q14" i="17" s="1"/>
  <c r="M15" i="18"/>
  <c r="U12" i="21" s="1"/>
  <c r="S9" i="18"/>
  <c r="M11" i="16"/>
  <c r="S8" i="21" s="1"/>
  <c r="S9" i="16"/>
  <c r="AR16" i="15"/>
  <c r="AU16" i="15"/>
  <c r="BQ15" i="12"/>
  <c r="J12" i="16"/>
  <c r="M12" i="16" s="1"/>
  <c r="S9" i="21" s="1"/>
  <c r="H47" i="18"/>
  <c r="J12" i="18"/>
  <c r="M12" i="18" s="1"/>
  <c r="U9" i="22" s="1"/>
  <c r="J14" i="17"/>
  <c r="M14" i="17" s="1"/>
  <c r="T11" i="21" s="1"/>
  <c r="J13" i="20"/>
  <c r="M13" i="20" s="1"/>
  <c r="W10" i="21" s="1"/>
  <c r="J9" i="20"/>
  <c r="M9" i="20" s="1"/>
  <c r="W6" i="21" s="1"/>
  <c r="J11" i="17"/>
  <c r="M11" i="17" s="1"/>
  <c r="J14" i="16"/>
  <c r="M14" i="16" s="1"/>
  <c r="S11" i="21" s="1"/>
  <c r="H37" i="18"/>
  <c r="P9" i="20"/>
  <c r="Q9" i="20" s="1"/>
  <c r="J16" i="20"/>
  <c r="M16" i="20" s="1"/>
  <c r="W13" i="22" s="1"/>
  <c r="Z14" i="8"/>
  <c r="K11" i="21" s="1"/>
  <c r="AH9" i="5"/>
  <c r="AK9" i="5" s="1"/>
  <c r="AQ9" i="5"/>
  <c r="AS9" i="5" s="1"/>
  <c r="Z11" i="19"/>
  <c r="Z14" i="19"/>
  <c r="Z12" i="19"/>
  <c r="AC9" i="19"/>
  <c r="AD9" i="19" s="1"/>
  <c r="AF9" i="19"/>
  <c r="Z16" i="19"/>
  <c r="Z10" i="19"/>
  <c r="Z15" i="19"/>
  <c r="P9" i="17"/>
  <c r="Q9" i="17" s="1"/>
  <c r="M15" i="17"/>
  <c r="T12" i="21" s="1"/>
  <c r="M15" i="16"/>
  <c r="S12" i="21" s="1"/>
  <c r="AK11" i="15"/>
  <c r="AL11" i="15" s="1"/>
  <c r="AF9" i="12"/>
  <c r="Z14" i="11"/>
  <c r="Z10" i="11"/>
  <c r="Z12" i="11"/>
  <c r="Y15" i="9"/>
  <c r="AF9" i="8"/>
  <c r="Z18" i="6"/>
  <c r="Z20" i="6"/>
  <c r="AA20" i="6" s="1"/>
  <c r="AK15" i="5"/>
  <c r="P8" i="14"/>
  <c r="Q8" i="14" s="1"/>
  <c r="Z13" i="11"/>
  <c r="Y13" i="10"/>
  <c r="Z13" i="10" s="1"/>
  <c r="M10" i="22" s="1"/>
  <c r="Y11" i="10"/>
  <c r="M8" i="21" s="1"/>
  <c r="Y12" i="10"/>
  <c r="M9" i="21" s="1"/>
  <c r="Y9" i="10"/>
  <c r="M6" i="21" s="1"/>
  <c r="Y14" i="10"/>
  <c r="M11" i="21" s="1"/>
  <c r="Y15" i="10"/>
  <c r="M12" i="21" s="1"/>
  <c r="Z15" i="8"/>
  <c r="K12" i="21" s="1"/>
  <c r="Z13" i="8"/>
  <c r="K10" i="21" s="1"/>
  <c r="Z9" i="8"/>
  <c r="K6" i="21" s="1"/>
  <c r="Z10" i="8"/>
  <c r="K7" i="21" s="1"/>
  <c r="Z12" i="8"/>
  <c r="K9" i="21" s="1"/>
  <c r="Z15" i="6"/>
  <c r="H43" i="18"/>
  <c r="Y11" i="9"/>
  <c r="H30" i="16"/>
  <c r="J10" i="17"/>
  <c r="M10" i="17" s="1"/>
  <c r="J13" i="18"/>
  <c r="M13" i="18" s="1"/>
  <c r="U10" i="21" s="1"/>
  <c r="J10" i="20"/>
  <c r="M10" i="20" s="1"/>
  <c r="W7" i="21" s="1"/>
  <c r="Y13" i="9"/>
  <c r="J10" i="18"/>
  <c r="M10" i="18" s="1"/>
  <c r="U7" i="21" s="1"/>
  <c r="J9" i="16"/>
  <c r="M9" i="16" s="1"/>
  <c r="AK10" i="5"/>
  <c r="AK14" i="5"/>
  <c r="AK12" i="15"/>
  <c r="AL12" i="15" s="1"/>
  <c r="AC9" i="8"/>
  <c r="AD9" i="8" s="1"/>
  <c r="Y10" i="9"/>
  <c r="Z10" i="9" s="1"/>
  <c r="Z10" i="7"/>
  <c r="Z13" i="7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Y13" i="4"/>
  <c r="G10" i="21" s="1"/>
  <c r="Y11" i="4"/>
  <c r="G8" i="21" s="1"/>
  <c r="Y14" i="4"/>
  <c r="G11" i="21" s="1"/>
  <c r="M8" i="2"/>
  <c r="E13" i="21" s="1"/>
  <c r="AA21" i="6"/>
  <c r="AA19" i="6"/>
  <c r="F13" i="21"/>
  <c r="N8" i="3"/>
  <c r="F13" i="22" s="1"/>
  <c r="Z11" i="8"/>
  <c r="K8" i="21" s="1"/>
  <c r="H36" i="16"/>
  <c r="N8" i="14"/>
  <c r="Q13" i="22" s="1"/>
  <c r="Q13" i="21"/>
  <c r="AC9" i="11"/>
  <c r="AD9" i="11" s="1"/>
  <c r="N10" i="14"/>
  <c r="Z9" i="19"/>
  <c r="N11" i="14"/>
  <c r="H38" i="18"/>
  <c r="Y10" i="4"/>
  <c r="G7" i="21" s="1"/>
  <c r="AK12" i="5"/>
  <c r="Z11" i="11"/>
  <c r="Z15" i="11"/>
  <c r="AO17" i="12"/>
  <c r="J13" i="16"/>
  <c r="M13" i="16" s="1"/>
  <c r="S10" i="21" s="1"/>
  <c r="H41" i="16"/>
  <c r="H36" i="18"/>
  <c r="J11" i="18"/>
  <c r="M11" i="18" s="1"/>
  <c r="U8" i="21" s="1"/>
  <c r="Y10" i="10"/>
  <c r="M7" i="21" s="1"/>
  <c r="H44" i="16"/>
  <c r="H41" i="18"/>
  <c r="J9" i="18"/>
  <c r="M9" i="18" s="1"/>
  <c r="U6" i="21" s="1"/>
  <c r="H32" i="16"/>
  <c r="AK15" i="15"/>
  <c r="J9" i="17"/>
  <c r="M9" i="17" s="1"/>
  <c r="AK11" i="5"/>
  <c r="AK13" i="5"/>
  <c r="AF9" i="11"/>
  <c r="BQ12" i="12"/>
  <c r="K12" i="12"/>
  <c r="U12" i="13" s="1"/>
  <c r="N13" i="14"/>
  <c r="H29" i="16"/>
  <c r="J10" i="16"/>
  <c r="M10" i="16" s="1"/>
  <c r="S7" i="21" s="1"/>
  <c r="J16" i="16"/>
  <c r="M16" i="16" s="1"/>
  <c r="J14" i="18"/>
  <c r="M14" i="18" s="1"/>
  <c r="U11" i="21" s="1"/>
  <c r="J11" i="20"/>
  <c r="M11" i="20" s="1"/>
  <c r="W8" i="21" s="1"/>
  <c r="H31" i="16"/>
  <c r="H43" i="16"/>
  <c r="H50" i="18"/>
  <c r="P9" i="16"/>
  <c r="Q9" i="16" s="1"/>
  <c r="P9" i="18"/>
  <c r="Q9" i="18" s="1"/>
  <c r="K11" i="12"/>
  <c r="U11" i="13" s="1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N6" i="21" l="1"/>
  <c r="AA9" i="11"/>
  <c r="V6" i="21"/>
  <c r="AA9" i="19"/>
  <c r="V6" i="22" s="1"/>
  <c r="H6" i="21"/>
  <c r="AL9" i="5"/>
  <c r="H6" i="22" s="1"/>
  <c r="L6" i="21"/>
  <c r="Z9" i="9"/>
  <c r="L6" i="22" s="1"/>
  <c r="N8" i="21"/>
  <c r="AA11" i="11"/>
  <c r="I9" i="21"/>
  <c r="AA12" i="6"/>
  <c r="I9" i="22" s="1"/>
  <c r="I8" i="21"/>
  <c r="AA11" i="6"/>
  <c r="I8" i="22" s="1"/>
  <c r="V8" i="21"/>
  <c r="AA11" i="19"/>
  <c r="V8" i="22" s="1"/>
  <c r="N9" i="21"/>
  <c r="AA12" i="11"/>
  <c r="L8" i="21"/>
  <c r="Z11" i="9"/>
  <c r="L8" i="22" s="1"/>
  <c r="H9" i="21"/>
  <c r="AL12" i="5"/>
  <c r="H9" i="22" s="1"/>
  <c r="H8" i="21"/>
  <c r="AL11" i="5"/>
  <c r="H8" i="22" s="1"/>
  <c r="V9" i="21"/>
  <c r="AA12" i="19"/>
  <c r="R11" i="21"/>
  <c r="AL14" i="15"/>
  <c r="R11" i="22" s="1"/>
  <c r="L11" i="21"/>
  <c r="Z14" i="9"/>
  <c r="L11" i="22" s="1"/>
  <c r="I7" i="21"/>
  <c r="AA10" i="6"/>
  <c r="I7" i="22" s="1"/>
  <c r="H11" i="21"/>
  <c r="AL14" i="5"/>
  <c r="N7" i="21"/>
  <c r="AA10" i="11"/>
  <c r="N11" i="21"/>
  <c r="AA14" i="11"/>
  <c r="N11" i="22" s="1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N12" i="21"/>
  <c r="AA15" i="11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L10" i="21"/>
  <c r="Z13" i="9"/>
  <c r="L10" i="22" s="1"/>
  <c r="I10" i="21"/>
  <c r="AA13" i="6"/>
  <c r="V16" i="4"/>
  <c r="V13" i="21"/>
  <c r="AA16" i="19"/>
  <c r="V13" i="22" s="1"/>
  <c r="V10" i="21"/>
  <c r="AA13" i="19"/>
  <c r="V10" i="22" s="1"/>
  <c r="N10" i="21"/>
  <c r="AA13" i="11"/>
  <c r="N10" i="22" s="1"/>
  <c r="J7" i="21"/>
  <c r="AA10" i="7"/>
  <c r="J7" i="22" s="1"/>
  <c r="J10" i="21"/>
  <c r="AA13" i="7"/>
  <c r="J10" i="22" s="1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X9" i="20"/>
  <c r="Y9" i="20"/>
  <c r="X9" i="17"/>
  <c r="Y9" i="17"/>
  <c r="U10" i="18"/>
  <c r="V10" i="18" s="1"/>
  <c r="Y10" i="18" s="1"/>
  <c r="U11" i="17"/>
  <c r="V11" i="17" s="1"/>
  <c r="Y11" i="17" s="1"/>
  <c r="U12" i="18"/>
  <c r="V12" i="18" s="1"/>
  <c r="Y12" i="18" s="1"/>
  <c r="AH9" i="19"/>
  <c r="AI9" i="19" s="1"/>
  <c r="AL9" i="19" s="1"/>
  <c r="U13" i="17"/>
  <c r="V13" i="17" s="1"/>
  <c r="Y13" i="17" s="1"/>
  <c r="U14" i="18"/>
  <c r="V14" i="18" s="1"/>
  <c r="Y14" i="18" s="1"/>
  <c r="U12" i="17"/>
  <c r="V12" i="17" s="1"/>
  <c r="Y12" i="17" s="1"/>
  <c r="U11" i="18"/>
  <c r="V11" i="18" s="1"/>
  <c r="Y11" i="18" s="1"/>
  <c r="AH9" i="11"/>
  <c r="AI9" i="11" s="1"/>
  <c r="AL9" i="11" s="1"/>
  <c r="U13" i="18"/>
  <c r="V13" i="18" s="1"/>
  <c r="Y13" i="18" s="1"/>
  <c r="U9" i="16"/>
  <c r="V9" i="16" s="1"/>
  <c r="Y9" i="16" s="1"/>
  <c r="U14" i="17"/>
  <c r="V14" i="17" s="1"/>
  <c r="Y14" i="17" s="1"/>
  <c r="AH9" i="8"/>
  <c r="AI9" i="8" s="1"/>
  <c r="AL9" i="8" s="1"/>
  <c r="U9" i="18"/>
  <c r="V9" i="18" s="1"/>
  <c r="Y9" i="18" s="1"/>
  <c r="U8" i="14"/>
  <c r="V8" i="14" s="1"/>
  <c r="AF16" i="9"/>
  <c r="AB16" i="9" s="1"/>
  <c r="W9" i="22"/>
  <c r="AO64" i="28"/>
  <c r="AF64" i="28"/>
  <c r="AS64" i="28"/>
  <c r="AW64" i="28"/>
  <c r="AA64" i="28"/>
  <c r="BA64" i="28"/>
  <c r="W12" i="22"/>
  <c r="W64" i="28"/>
  <c r="AJ64" i="28"/>
  <c r="Y9" i="4"/>
  <c r="Z9" i="4" s="1"/>
  <c r="G7" i="22" s="1"/>
  <c r="AT9" i="5"/>
  <c r="AW9" i="5" s="1"/>
  <c r="I6" i="21"/>
  <c r="I6" i="22"/>
  <c r="R16" i="18"/>
  <c r="I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AI16" i="9"/>
  <c r="AK16" i="9" s="1"/>
  <c r="V16" i="10"/>
  <c r="Y16" i="10" s="1"/>
  <c r="Z16" i="10" s="1"/>
  <c r="M13" i="22" s="1"/>
  <c r="AF16" i="10"/>
  <c r="AB16" i="10" s="1"/>
  <c r="AI16" i="10"/>
  <c r="AK16" i="10" s="1"/>
  <c r="AH16" i="15"/>
  <c r="AK16" i="15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AD11" i="13"/>
  <c r="V11" i="13"/>
  <c r="Y11" i="13" s="1"/>
  <c r="AJ16" i="11"/>
  <c r="W11" i="22"/>
  <c r="T8" i="22"/>
  <c r="T8" i="21"/>
  <c r="T7" i="22"/>
  <c r="T7" i="21"/>
  <c r="T6" i="22"/>
  <c r="T6" i="21"/>
  <c r="T9" i="22"/>
  <c r="AU16" i="5"/>
  <c r="AW16" i="5" s="1"/>
  <c r="AR16" i="5"/>
  <c r="AN16" i="5" s="1"/>
  <c r="AH16" i="5"/>
  <c r="R16" i="17"/>
  <c r="S10" i="17"/>
  <c r="P10" i="17"/>
  <c r="Q10" i="17" s="1"/>
  <c r="S8" i="22"/>
  <c r="U12" i="22"/>
  <c r="AA14" i="8"/>
  <c r="K11" i="22" s="1"/>
  <c r="AN16" i="15"/>
  <c r="AQ16" i="15"/>
  <c r="AG12" i="12"/>
  <c r="AC12" i="12" s="1"/>
  <c r="AD12" i="12" s="1"/>
  <c r="AJ12" i="12"/>
  <c r="AL12" i="12" s="1"/>
  <c r="AG11" i="12"/>
  <c r="AC11" i="12" s="1"/>
  <c r="AD11" i="12" s="1"/>
  <c r="AJ11" i="12"/>
  <c r="AL11" i="12" s="1"/>
  <c r="BQ13" i="12"/>
  <c r="K13" i="12"/>
  <c r="U13" i="13" s="1"/>
  <c r="BQ14" i="12"/>
  <c r="K15" i="12"/>
  <c r="U15" i="13" s="1"/>
  <c r="Z12" i="7"/>
  <c r="V9" i="22"/>
  <c r="N7" i="22"/>
  <c r="K14" i="12"/>
  <c r="U14" i="13" s="1"/>
  <c r="N9" i="22"/>
  <c r="AJ9" i="10"/>
  <c r="Z11" i="10"/>
  <c r="M8" i="22" s="1"/>
  <c r="S9" i="22"/>
  <c r="W7" i="22"/>
  <c r="T10" i="22"/>
  <c r="S12" i="22"/>
  <c r="T11" i="22"/>
  <c r="U10" i="22"/>
  <c r="W6" i="22"/>
  <c r="S11" i="22"/>
  <c r="T12" i="22"/>
  <c r="U13" i="22"/>
  <c r="U7" i="22"/>
  <c r="U9" i="21"/>
  <c r="W13" i="21"/>
  <c r="W10" i="22"/>
  <c r="Z11" i="7"/>
  <c r="I10" i="22"/>
  <c r="Z14" i="10"/>
  <c r="M11" i="22" s="1"/>
  <c r="M10" i="21"/>
  <c r="Z15" i="10"/>
  <c r="M12" i="22" s="1"/>
  <c r="Z12" i="10"/>
  <c r="M9" i="22" s="1"/>
  <c r="AA18" i="6"/>
  <c r="V18" i="4"/>
  <c r="Y16" i="4"/>
  <c r="G13" i="21" s="1"/>
  <c r="AC9" i="4"/>
  <c r="V12" i="22"/>
  <c r="T13" i="22"/>
  <c r="R8" i="21"/>
  <c r="R8" i="22"/>
  <c r="BQ9" i="12"/>
  <c r="Z9" i="10"/>
  <c r="M6" i="22" s="1"/>
  <c r="AA10" i="8"/>
  <c r="K7" i="22" s="1"/>
  <c r="AA15" i="8"/>
  <c r="K12" i="22" s="1"/>
  <c r="AA13" i="8"/>
  <c r="K10" i="22" s="1"/>
  <c r="AA12" i="8"/>
  <c r="K9" i="22" s="1"/>
  <c r="AA9" i="8"/>
  <c r="K6" i="22" s="1"/>
  <c r="I12" i="21"/>
  <c r="H23" i="6"/>
  <c r="W23" i="6" s="1"/>
  <c r="AN9" i="5"/>
  <c r="AO9" i="5" s="1"/>
  <c r="H11" i="22"/>
  <c r="S6" i="21"/>
  <c r="S6" i="22"/>
  <c r="Z12" i="4"/>
  <c r="G10" i="22" s="1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AN9" i="15"/>
  <c r="AO9" i="15" s="1"/>
  <c r="G6" i="22"/>
  <c r="Z13" i="4"/>
  <c r="G11" i="22" s="1"/>
  <c r="Z11" i="4"/>
  <c r="G9" i="22" s="1"/>
  <c r="Z14" i="4"/>
  <c r="G12" i="22" s="1"/>
  <c r="N8" i="2"/>
  <c r="E13" i="22" s="1"/>
  <c r="U6" i="22"/>
  <c r="AQ9" i="15"/>
  <c r="W11" i="12"/>
  <c r="Z11" i="12" s="1"/>
  <c r="AQ17" i="12"/>
  <c r="U11" i="22"/>
  <c r="S13" i="22"/>
  <c r="S13" i="21"/>
  <c r="S10" i="22"/>
  <c r="S7" i="22"/>
  <c r="N13" i="22"/>
  <c r="N13" i="21"/>
  <c r="L13" i="21"/>
  <c r="L13" i="22"/>
  <c r="Z10" i="4"/>
  <c r="G8" i="22" s="1"/>
  <c r="J13" i="21"/>
  <c r="N6" i="22"/>
  <c r="Z10" i="10"/>
  <c r="M7" i="22" s="1"/>
  <c r="N12" i="22"/>
  <c r="AF9" i="7"/>
  <c r="K9" i="12"/>
  <c r="U9" i="13" s="1"/>
  <c r="AP17" i="12"/>
  <c r="AK9" i="15"/>
  <c r="BQ11" i="12"/>
  <c r="N8" i="22"/>
  <c r="H10" i="22"/>
  <c r="U8" i="22"/>
  <c r="BQ10" i="12"/>
  <c r="K10" i="12"/>
  <c r="U10" i="13" s="1"/>
  <c r="W8" i="22"/>
  <c r="W12" i="12"/>
  <c r="Z12" i="12" s="1"/>
  <c r="AA11" i="8"/>
  <c r="K8" i="22" s="1"/>
  <c r="R6" i="21" l="1"/>
  <c r="AL9" i="15"/>
  <c r="O8" i="21"/>
  <c r="AA11" i="12"/>
  <c r="O8" i="22" s="1"/>
  <c r="P8" i="21"/>
  <c r="Z11" i="13"/>
  <c r="P9" i="21"/>
  <c r="Z12" i="13"/>
  <c r="P9" i="22" s="1"/>
  <c r="O9" i="21"/>
  <c r="AA12" i="12"/>
  <c r="O9" i="22" s="1"/>
  <c r="R13" i="21"/>
  <c r="AL16" i="15"/>
  <c r="R13" i="22" s="1"/>
  <c r="I13" i="21"/>
  <c r="AA16" i="6"/>
  <c r="I13" i="22" s="1"/>
  <c r="AA12" i="7"/>
  <c r="J9" i="22" s="1"/>
  <c r="J8" i="21"/>
  <c r="AA11" i="7"/>
  <c r="J8" i="22" s="1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X9" i="18"/>
  <c r="X13" i="17"/>
  <c r="X9" i="16"/>
  <c r="AK9" i="19"/>
  <c r="AK9" i="11"/>
  <c r="X12" i="17"/>
  <c r="X12" i="18"/>
  <c r="X14" i="17"/>
  <c r="X13" i="18"/>
  <c r="X11" i="18"/>
  <c r="X14" i="18"/>
  <c r="X11" i="17"/>
  <c r="X10" i="18"/>
  <c r="U10" i="17"/>
  <c r="V10" i="17" s="1"/>
  <c r="Y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AV9" i="5"/>
  <c r="G6" i="21"/>
  <c r="S16" i="18"/>
  <c r="P16" i="18"/>
  <c r="AF16" i="6"/>
  <c r="AC16" i="6"/>
  <c r="AJ16" i="9"/>
  <c r="AJ16" i="10"/>
  <c r="AD13" i="13"/>
  <c r="V13" i="13"/>
  <c r="Y13" i="13" s="1"/>
  <c r="AD10" i="13"/>
  <c r="V10" i="13"/>
  <c r="Y10" i="13" s="1"/>
  <c r="U16" i="13"/>
  <c r="AD9" i="13"/>
  <c r="V9" i="13"/>
  <c r="AD14" i="13"/>
  <c r="V14" i="13"/>
  <c r="Y14" i="13" s="1"/>
  <c r="W13" i="12"/>
  <c r="Z13" i="12" s="1"/>
  <c r="AE11" i="13"/>
  <c r="AB11" i="13"/>
  <c r="AC11" i="13" s="1"/>
  <c r="AD15" i="13"/>
  <c r="V15" i="13"/>
  <c r="Y15" i="13" s="1"/>
  <c r="AE12" i="13"/>
  <c r="AB12" i="13"/>
  <c r="AC12" i="13" s="1"/>
  <c r="J9" i="21"/>
  <c r="AV16" i="5"/>
  <c r="S16" i="17"/>
  <c r="P16" i="17"/>
  <c r="AG10" i="12"/>
  <c r="AC10" i="12" s="1"/>
  <c r="AD10" i="12" s="1"/>
  <c r="AJ10" i="12"/>
  <c r="AL10" i="12" s="1"/>
  <c r="AJ14" i="12"/>
  <c r="AL14" i="12" s="1"/>
  <c r="AG14" i="12"/>
  <c r="AC14" i="12" s="1"/>
  <c r="AD14" i="12" s="1"/>
  <c r="AG13" i="12"/>
  <c r="AC13" i="12" s="1"/>
  <c r="AD13" i="12" s="1"/>
  <c r="AJ13" i="12"/>
  <c r="AL13" i="12" s="1"/>
  <c r="AK11" i="12"/>
  <c r="W15" i="12"/>
  <c r="Z15" i="12" s="1"/>
  <c r="AG15" i="12"/>
  <c r="AC15" i="12" s="1"/>
  <c r="AD15" i="12" s="1"/>
  <c r="AJ15" i="12"/>
  <c r="AL15" i="12" s="1"/>
  <c r="AJ9" i="12"/>
  <c r="AL9" i="12" s="1"/>
  <c r="AG9" i="12"/>
  <c r="AC9" i="12" s="1"/>
  <c r="AD9" i="12" s="1"/>
  <c r="AK12" i="12"/>
  <c r="W14" i="12"/>
  <c r="Z14" i="12" s="1"/>
  <c r="AA14" i="12" s="1"/>
  <c r="BQ17" i="12"/>
  <c r="Z16" i="4"/>
  <c r="G13" i="22" s="1"/>
  <c r="AK9" i="6"/>
  <c r="K13" i="21"/>
  <c r="AA16" i="8"/>
  <c r="K13" i="22" s="1"/>
  <c r="AK9" i="8"/>
  <c r="AJ9" i="9"/>
  <c r="BC12" i="12"/>
  <c r="P8" i="22"/>
  <c r="R6" i="22"/>
  <c r="Z9" i="7"/>
  <c r="W10" i="12"/>
  <c r="Z10" i="12" s="1"/>
  <c r="K17" i="12"/>
  <c r="W9" i="12"/>
  <c r="Z9" i="12" s="1"/>
  <c r="AA9" i="12" s="1"/>
  <c r="BC11" i="12"/>
  <c r="P11" i="21" l="1"/>
  <c r="Z14" i="13"/>
  <c r="P7" i="21"/>
  <c r="Z10" i="13"/>
  <c r="P7" i="22" s="1"/>
  <c r="O7" i="21"/>
  <c r="AA10" i="12"/>
  <c r="P12" i="21"/>
  <c r="Z15" i="13"/>
  <c r="O12" i="21"/>
  <c r="AA15" i="12"/>
  <c r="AL16" i="5"/>
  <c r="H13" i="22" s="1"/>
  <c r="P10" i="21"/>
  <c r="Z13" i="13"/>
  <c r="P10" i="22" s="1"/>
  <c r="O10" i="21"/>
  <c r="AA13" i="12"/>
  <c r="O10" i="22" s="1"/>
  <c r="J6" i="21"/>
  <c r="AA9" i="7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Q16" i="18"/>
  <c r="F21" i="30"/>
  <c r="G21" i="30" s="1"/>
  <c r="Q16" i="17"/>
  <c r="F20" i="30"/>
  <c r="G20" i="30" s="1"/>
  <c r="O6" i="21"/>
  <c r="O6" i="22"/>
  <c r="AV16" i="15"/>
  <c r="AK9" i="7"/>
  <c r="AV9" i="15"/>
  <c r="X10" i="17"/>
  <c r="U16" i="17"/>
  <c r="V16" i="17" s="1"/>
  <c r="Y16" i="17" s="1"/>
  <c r="AG12" i="13"/>
  <c r="AH12" i="13" s="1"/>
  <c r="AK12" i="13" s="1"/>
  <c r="U16" i="18"/>
  <c r="V16" i="18" s="1"/>
  <c r="Y16" i="18" s="1"/>
  <c r="AG11" i="13"/>
  <c r="AH11" i="13" s="1"/>
  <c r="AK11" i="13" s="1"/>
  <c r="H13" i="21"/>
  <c r="AJ9" i="4"/>
  <c r="P12" i="22"/>
  <c r="X9" i="22"/>
  <c r="X9" i="21" s="1"/>
  <c r="BC13" i="12"/>
  <c r="AE14" i="13"/>
  <c r="AB14" i="13"/>
  <c r="AC14" i="13" s="1"/>
  <c r="AD16" i="13"/>
  <c r="V16" i="13"/>
  <c r="Y16" i="13" s="1"/>
  <c r="Z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W17" i="12"/>
  <c r="Z17" i="12" s="1"/>
  <c r="AJ17" i="12"/>
  <c r="AL17" i="12" s="1"/>
  <c r="AG17" i="12"/>
  <c r="AC17" i="12" s="1"/>
  <c r="P11" i="22"/>
  <c r="AK15" i="12"/>
  <c r="O11" i="21"/>
  <c r="BC14" i="12"/>
  <c r="BD12" i="12"/>
  <c r="BC9" i="12"/>
  <c r="BD11" i="12"/>
  <c r="Y9" i="13"/>
  <c r="Z9" i="13" s="1"/>
  <c r="AK9" i="12"/>
  <c r="J6" i="22"/>
  <c r="BC10" i="12"/>
  <c r="O7" i="22"/>
  <c r="AA17" i="12" l="1"/>
  <c r="O13" i="22" s="1"/>
  <c r="AL16" i="6"/>
  <c r="AK16" i="6"/>
  <c r="AD17" i="12"/>
  <c r="F15" i="30"/>
  <c r="G15" i="30" s="1"/>
  <c r="AJ11" i="13"/>
  <c r="AJ12" i="13"/>
  <c r="X16" i="18"/>
  <c r="X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D13" i="12"/>
  <c r="X12" i="22"/>
  <c r="X12" i="21" s="1"/>
  <c r="X10" i="22"/>
  <c r="X10" i="21" s="1"/>
  <c r="P6" i="21"/>
  <c r="P6" i="22"/>
  <c r="X6" i="22" s="1"/>
  <c r="X6" i="21" s="1"/>
  <c r="X7" i="22"/>
  <c r="X7" i="21" s="1"/>
  <c r="AE16" i="13"/>
  <c r="AB16" i="13"/>
  <c r="AK17" i="12"/>
  <c r="O11" i="22"/>
  <c r="X11" i="22" s="1"/>
  <c r="X11" i="21" s="1"/>
  <c r="BD14" i="12"/>
  <c r="BD9" i="12"/>
  <c r="AE9" i="13"/>
  <c r="AB9" i="13"/>
  <c r="AC9" i="13" s="1"/>
  <c r="BD10" i="12"/>
  <c r="P13" i="2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X13" i="22" s="1"/>
  <c r="X13" i="21" s="1"/>
</calcChain>
</file>

<file path=xl/sharedStrings.xml><?xml version="1.0" encoding="utf-8"?>
<sst xmlns="http://schemas.openxmlformats.org/spreadsheetml/2006/main" count="2382" uniqueCount="531">
  <si>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</si>
  <si>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</si>
  <si>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</si>
  <si>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</si>
  <si>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</si>
  <si>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</si>
  <si>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</si>
  <si>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</si>
  <si>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</si>
  <si>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</si>
  <si>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</si>
  <si>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</si>
  <si>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</si>
  <si>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</si>
  <si>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</si>
  <si>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</si>
  <si>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</si>
  <si>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</si>
  <si>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</si>
  <si>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</si>
  <si>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</si>
  <si>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</si>
  <si>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</si>
  <si>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</si>
  <si>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</si>
  <si>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</si>
  <si>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</si>
  <si>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</si>
  <si>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</si>
  <si>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</si>
  <si>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</si>
  <si>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</si>
  <si>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</si>
  <si>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</si>
  <si>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</si>
  <si>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</si>
  <si>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</si>
  <si>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</si>
  <si>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</si>
  <si>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</si>
  <si>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</si>
  <si>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</si>
  <si>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</si>
  <si>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</si>
  <si>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</si>
  <si>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</si>
  <si>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</si>
  <si>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</si>
  <si>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</si>
  <si>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</si>
  <si>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</si>
  <si>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</si>
  <si>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</si>
  <si>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</si>
  <si>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</si>
  <si>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</si>
  <si>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</si>
  <si>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</si>
  <si>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</si>
  <si>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</si>
  <si>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</si>
  <si>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</si>
  <si>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</si>
  <si>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</si>
  <si>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</si>
  <si>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</si>
  <si>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</si>
  <si>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</si>
  <si>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</si>
  <si>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</si>
  <si>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</si>
  <si>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</si>
  <si>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</si>
  <si>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</si>
  <si>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</si>
  <si>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</si>
  <si>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</si>
  <si>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</si>
  <si>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</si>
  <si>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</si>
  <si>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</si>
  <si>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</si>
  <si>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</si>
  <si>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</si>
  <si>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</si>
  <si>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</si>
  <si>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</si>
  <si>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</si>
  <si>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</si>
  <si>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</si>
  <si>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</si>
  <si>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</si>
  <si>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</si>
  <si>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</si>
  <si>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</si>
  <si>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</si>
  <si>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</si>
  <si>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</si>
  <si>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</si>
  <si>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</si>
  <si>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</si>
  <si>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</si>
  <si>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</si>
  <si>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</si>
  <si>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</si>
  <si>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</si>
  <si>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</si>
  <si>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</si>
  <si>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</si>
  <si>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</si>
  <si>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</si>
  <si>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</si>
  <si>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>Del Indicador Ponderado (6,25%*0,90%)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</si>
  <si>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</si>
  <si>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</si>
  <si>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</si>
  <si>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</si>
  <si>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</si>
  <si>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</si>
  <si>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</si>
  <si>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</si>
  <si>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</si>
  <si>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</si>
  <si>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</si>
  <si>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</si>
  <si>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</si>
  <si>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</si>
  <si>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</si>
  <si>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</si>
  <si>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</si>
  <si>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</si>
  <si>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</si>
  <si>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</si>
  <si>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</si>
  <si>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</si>
  <si>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</si>
  <si>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</si>
  <si>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</si>
  <si>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</si>
  <si>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</si>
  <si>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</si>
  <si>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</si>
  <si>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</si>
  <si>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</si>
  <si>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</si>
  <si>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</si>
  <si>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</si>
  <si>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</si>
  <si>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</si>
  <si>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</si>
  <si>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</si>
  <si>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</si>
  <si>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</si>
  <si>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</si>
  <si>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</si>
  <si>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</si>
  <si>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</si>
  <si>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</si>
  <si>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</si>
  <si>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</si>
  <si>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</si>
  <si>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</si>
  <si>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</si>
  <si>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</si>
  <si>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</si>
  <si>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</si>
  <si>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</si>
  <si>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</si>
  <si>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</si>
  <si>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</si>
  <si>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</si>
  <si>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</si>
  <si>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</si>
  <si>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</si>
  <si>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</si>
  <si>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</si>
  <si>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</si>
  <si>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</si>
  <si>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</si>
  <si>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</si>
  <si>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</si>
  <si>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</si>
  <si>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</si>
  <si>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</si>
  <si>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</si>
  <si>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</si>
  <si>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</si>
  <si>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</si>
  <si>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</si>
  <si>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</si>
  <si>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</si>
  <si>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</si>
  <si>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</si>
  <si>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</si>
  <si>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</si>
  <si>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</si>
  <si>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</si>
  <si>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</si>
  <si>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</si>
  <si>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</si>
  <si>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</si>
  <si>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</si>
  <si>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</si>
  <si>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</si>
  <si>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</si>
  <si>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t>REM06 CONTROLES MEDICO S.MENTAL APS (C13)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</si>
  <si>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</si>
  <si>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</si>
  <si>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</si>
  <si>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</si>
  <si>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</si>
  <si>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r>
      <t>REM 07 INTERCONSULTAS SIN 
GINECOLOGIA -OBSTETRICIA
  (</t>
    </r>
    <r>
      <rPr>
        <b/>
        <sz val="12"/>
        <rFont val="Calibri"/>
        <family val="2"/>
      </rPr>
      <t>AE136+AF136)-(AE(96+120+121+122+123+124+129+130+131)  +  AF(96+106+120+121+122+123+124+129+130+131) )</t>
    </r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</si>
  <si>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</si>
  <si>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</si>
  <si>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</si>
  <si>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</si>
  <si>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</si>
  <si>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</si>
  <si>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</si>
  <si>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</si>
  <si>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</si>
  <si>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Poblacion (Hombres+Mujer) de 20 a 64 años bajo control en programa de salud cardiovascular</t>
  </si>
  <si>
    <t>En Control Smental</t>
  </si>
  <si>
    <t>Pob Reg Fecundidad REMP1 Adolescentes 15a19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</si>
  <si>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</si>
  <si>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</si>
  <si>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</si>
  <si>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</si>
  <si>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</si>
  <si>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</si>
  <si>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</si>
  <si>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</si>
  <si>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</si>
  <si>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</si>
  <si>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</si>
  <si>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</si>
  <si>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</si>
  <si>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</si>
  <si>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</si>
  <si>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</si>
  <si>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</si>
  <si>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</si>
  <si>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</si>
  <si>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</si>
  <si>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</si>
  <si>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</si>
  <si>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</si>
  <si>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</si>
  <si>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</si>
  <si>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</si>
  <si>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</si>
  <si>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</si>
  <si>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</si>
  <si>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</si>
  <si>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</si>
  <si>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</si>
  <si>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</si>
  <si>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</si>
  <si>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</si>
  <si>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</si>
  <si>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</si>
  <si>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</si>
  <si>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</si>
  <si>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</si>
  <si>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</si>
  <si>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</si>
  <si>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</si>
  <si>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</si>
  <si>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</si>
  <si>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</si>
  <si>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</si>
  <si>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</si>
  <si>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</si>
  <si>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</si>
  <si>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</si>
  <si>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</si>
  <si>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</si>
  <si>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</si>
  <si>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</si>
  <si>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</si>
  <si>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</si>
  <si>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</si>
  <si>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</si>
  <si>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</si>
  <si>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</si>
  <si>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</si>
  <si>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</si>
  <si>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</si>
  <si>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</si>
  <si>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</si>
  <si>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</si>
  <si>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</si>
  <si>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</si>
  <si>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</si>
  <si>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</si>
  <si>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</si>
  <si>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</si>
  <si>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</si>
  <si>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</si>
  <si>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</si>
  <si>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</si>
  <si>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</si>
  <si>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</si>
  <si>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</si>
  <si>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</si>
  <si>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</si>
  <si>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</si>
  <si>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</si>
  <si>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</si>
  <si>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</si>
  <si>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</si>
  <si>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</si>
  <si>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</si>
  <si>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</si>
  <si>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</si>
  <si>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</si>
  <si>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</si>
  <si>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</si>
  <si>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</si>
  <si>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</si>
  <si>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</si>
  <si>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</si>
  <si>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</si>
  <si>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</si>
  <si>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</si>
  <si>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</si>
  <si>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</si>
  <si>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</si>
  <si>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</si>
  <si>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</si>
  <si>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</si>
  <si>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</si>
  <si>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</si>
  <si>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</si>
  <si>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</si>
  <si>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</si>
  <si>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</si>
  <si>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</si>
  <si>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</si>
  <si>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</si>
  <si>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</si>
  <si>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</si>
  <si>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</si>
  <si>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</si>
  <si>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</si>
  <si>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</si>
  <si>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</si>
  <si>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</si>
  <si>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</si>
  <si>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</si>
  <si>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</si>
  <si>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</si>
  <si>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</si>
  <si>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</si>
  <si>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</si>
  <si>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</si>
  <si>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</si>
  <si>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</si>
  <si>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</si>
  <si>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</si>
  <si>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</si>
  <si>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</si>
  <si>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</si>
  <si>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</si>
  <si>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</si>
  <si>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</si>
  <si>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</si>
  <si>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</si>
  <si>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</si>
  <si>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</si>
  <si>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</si>
  <si>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</si>
  <si>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</si>
  <si>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</si>
  <si>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</si>
  <si>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</si>
  <si>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</si>
  <si>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</si>
  <si>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</si>
  <si>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</si>
  <si>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</si>
  <si>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</si>
  <si>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</si>
  <si>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</si>
  <si>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</si>
  <si>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</si>
  <si>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</si>
  <si>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</si>
  <si>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</si>
  <si>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</si>
  <si>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</si>
  <si>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</si>
  <si>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</si>
  <si>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</si>
  <si>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</si>
  <si>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</si>
  <si>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</si>
  <si>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</si>
  <si>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</si>
  <si>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</si>
  <si>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</si>
  <si>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</si>
  <si>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</si>
  <si>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</si>
  <si>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</si>
  <si>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</si>
  <si>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</si>
  <si>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</si>
  <si>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</si>
  <si>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</si>
  <si>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</si>
  <si>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</si>
  <si>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</si>
  <si>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</si>
  <si>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</si>
  <si>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</si>
  <si>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</si>
  <si>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</si>
  <si>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</si>
  <si>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</si>
  <si>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</si>
  <si>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</si>
  <si>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</si>
  <si>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</si>
  <si>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</si>
  <si>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</si>
  <si>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</si>
  <si>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</si>
  <si>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</si>
  <si>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 xml:space="preserve">Población
 12-23 ms. En control 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</si>
  <si>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</si>
  <si>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</si>
  <si>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</si>
  <si>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</si>
  <si>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</si>
  <si>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Personas  con trastornos mentales y condicionantes  de salud    mental bajo control  de  0  y  más años                                                                                 Nº de personas de 5 y más años salud mental bajo control  Remp06  + ingreso (REMA05)  C183  -egreso  (A05)  (C231 + AN231 + AO231 + AP231)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</si>
  <si>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</si>
  <si>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</si>
  <si>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</si>
  <si>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</si>
  <si>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</si>
  <si>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</si>
  <si>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</si>
  <si>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</si>
  <si>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</si>
  <si>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</si>
  <si>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</si>
  <si>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</si>
  <si>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</si>
  <si>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</si>
  <si>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</si>
  <si>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</si>
  <si>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</si>
  <si>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
PCV
Hombres+Mujeres
REM05 20-64 (H114+ Y114)</t>
  </si>
  <si>
    <t>EGRESOS
 PCV
Hombres+Mujeres
REM05 20-64  (H127+ Y127)</t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</si>
  <si>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</si>
  <si>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</si>
  <si>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</si>
  <si>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</si>
  <si>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</si>
  <si>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</si>
  <si>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</si>
  <si>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</si>
  <si>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</si>
  <si>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</si>
  <si>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</si>
  <si>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</si>
  <si>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</si>
  <si>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</si>
  <si>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</si>
  <si>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</si>
  <si>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</si>
  <si>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</si>
  <si>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</si>
  <si>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</si>
  <si>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</si>
  <si>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</si>
  <si>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</si>
  <si>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</si>
  <si>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</si>
  <si>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</si>
  <si>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</si>
  <si>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10.B:  Tasa de controles  de atención Integral a personas con trastornos mentales, factores de riesgo y condicionantes de la salud mental.    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</si>
  <si>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</si>
  <si>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</si>
  <si>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</si>
  <si>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</si>
  <si>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</si>
  <si>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</si>
  <si>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</si>
  <si>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</si>
  <si>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</si>
  <si>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</si>
  <si>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</si>
  <si>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</si>
  <si>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</si>
  <si>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</si>
  <si>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</si>
  <si>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</si>
  <si>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</si>
  <si>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</si>
  <si>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</si>
  <si>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</si>
  <si>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</si>
  <si>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</si>
  <si>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</si>
  <si>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</si>
  <si>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</si>
  <si>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Cumplimiento Global</t>
  </si>
  <si>
    <r>
      <t>EMP +MUJERES
20-64 AÑOS</t>
    </r>
    <r>
      <rPr>
        <b/>
        <sz val="12"/>
        <rFont val="Calibri"/>
        <family val="2"/>
      </rPr>
      <t xml:space="preserve">
REM02(G21+H21+ I21+ J21+ K21+ L21+ M21+ N21+ O21+ P21+ Q21+ R21+ S21+ T21+ U21+ V21+W21+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</si>
  <si>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REM02(G21+H21+ I21+ J21+ K21+ L21+ M21+ N21+ O21+ P21+ Q21+ R21+ S21+ T21+ U21+ V21+W21+ X21)</t>
    </r>
    <r>
      <rPr>
        <b/>
        <sz val="14"/>
        <rFont val="Calibri"/>
        <family val="2"/>
      </rPr>
      <t xml:space="preserve">
</t>
    </r>
  </si>
  <si>
    <t>Se espera
aproximar la
fijación a
22%</t>
  </si>
  <si>
    <t>Corte a Mayo 30 % de cumplimiento</t>
  </si>
  <si>
    <t>Para el Período
(% de la meta anual) (B)</t>
  </si>
  <si>
    <t>DIFERENCIA</t>
  </si>
  <si>
    <t>Del Indicador Ponderado (3,30%)</t>
  </si>
  <si>
    <t>Del Indicador Ponderado (4,40%)</t>
  </si>
  <si>
    <t>ENERO - MAYO 2024</t>
  </si>
  <si>
    <t>Del Indicador Ponderado (5,49%)</t>
  </si>
  <si>
    <t>Del Indicador Ponderado (1,32%)</t>
  </si>
  <si>
    <t>Del Indicador Ponderado (6,59%)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</si>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</sst>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7" fillId="0" borderId="0" applyFont="0" applyFill="0" applyBorder="0" applyAlignment="0" applyProtection="0"/>
    <xf numFmtId="0" fontId="4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0" borderId="0"/>
    <xf numFmtId="0" fontId="19" fillId="0" borderId="0"/>
    <xf numFmtId="0" fontId="19" fillId="0" borderId="0"/>
    <xf numFmtId="0" fontId="19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110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8" fillId="0" borderId="0"/>
    <xf numFmtId="0" fontId="43" fillId="0" borderId="0"/>
    <xf numFmtId="0" fontId="2" fillId="0" borderId="0"/>
    <xf numFmtId="0" fontId="7" fillId="0" borderId="0"/>
    <xf numFmtId="0" fontId="118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42" fontId="7" fillId="0" borderId="0" applyFont="0" applyFill="0" applyBorder="0" applyAlignment="0" applyProtection="0"/>
  </cellStyleXfs>
  <cellXfs count="1004">
    <xf numFmtId="0" fontId="0" fillId="0" borderId="0" xfId="0"/>
    <xf numFmtId="0" fontId="8" fillId="0" borderId="0" xfId="2" applyFont="1" applyAlignment="1">
      <alignment horizontal="center"/>
    </xf>
    <xf numFmtId="0" fontId="10" fillId="0" borderId="0" xfId="2" applyFont="1"/>
    <xf numFmtId="10" fontId="10" fillId="0" borderId="0" xfId="2" applyNumberFormat="1" applyFont="1"/>
    <xf numFmtId="0" fontId="11" fillId="0" borderId="0" xfId="2" applyFont="1" applyAlignment="1">
      <alignment horizontal="left"/>
    </xf>
    <xf numFmtId="0" fontId="4" fillId="0" borderId="0" xfId="2"/>
    <xf numFmtId="10" fontId="4" fillId="0" borderId="0" xfId="2" applyNumberFormat="1"/>
    <xf numFmtId="0" fontId="14" fillId="4" borderId="1" xfId="2" applyFont="1" applyFill="1" applyBorder="1" applyAlignment="1">
      <alignment horizontal="center"/>
    </xf>
    <xf numFmtId="0" fontId="14" fillId="4" borderId="9" xfId="2" applyFont="1" applyFill="1" applyBorder="1" applyAlignment="1">
      <alignment horizontal="center"/>
    </xf>
    <xf numFmtId="0" fontId="15" fillId="3" borderId="1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9" fontId="17" fillId="5" borderId="13" xfId="2" applyNumberFormat="1" applyFont="1" applyFill="1" applyBorder="1" applyAlignment="1">
      <alignment horizontal="center" vertical="center" wrapText="1"/>
    </xf>
    <xf numFmtId="10" fontId="17" fillId="5" borderId="14" xfId="2" applyNumberFormat="1" applyFont="1" applyFill="1" applyBorder="1" applyAlignment="1">
      <alignment horizontal="center" vertical="center" wrapText="1"/>
    </xf>
    <xf numFmtId="0" fontId="14" fillId="6" borderId="8" xfId="2" applyFont="1" applyFill="1" applyBorder="1" applyAlignment="1">
      <alignment horizontal="center" vertical="center" wrapText="1"/>
    </xf>
    <xf numFmtId="1" fontId="4" fillId="0" borderId="0" xfId="2" applyNumberFormat="1"/>
    <xf numFmtId="0" fontId="18" fillId="3" borderId="15" xfId="2" applyFont="1" applyFill="1" applyBorder="1"/>
    <xf numFmtId="10" fontId="21" fillId="6" borderId="16" xfId="2" applyNumberFormat="1" applyFont="1" applyFill="1" applyBorder="1"/>
    <xf numFmtId="10" fontId="22" fillId="0" borderId="0" xfId="2" applyNumberFormat="1" applyFont="1"/>
    <xf numFmtId="0" fontId="18" fillId="3" borderId="17" xfId="2" applyFont="1" applyFill="1" applyBorder="1"/>
    <xf numFmtId="1" fontId="20" fillId="4" borderId="18" xfId="3" applyNumberFormat="1" applyFont="1" applyFill="1" applyBorder="1" applyProtection="1"/>
    <xf numFmtId="1" fontId="20" fillId="4" borderId="19" xfId="4" applyNumberFormat="1" applyFont="1" applyFill="1" applyBorder="1" applyProtection="1">
      <protection locked="0"/>
    </xf>
    <xf numFmtId="10" fontId="20" fillId="3" borderId="19" xfId="4" applyNumberFormat="1" applyFont="1" applyFill="1" applyBorder="1" applyProtection="1">
      <protection locked="0"/>
    </xf>
    <xf numFmtId="165" fontId="20" fillId="5" borderId="19" xfId="2" applyNumberFormat="1" applyFont="1" applyFill="1" applyBorder="1"/>
    <xf numFmtId="10" fontId="20" fillId="5" borderId="19" xfId="4" applyNumberFormat="1" applyFont="1" applyFill="1" applyBorder="1" applyProtection="1">
      <protection locked="0"/>
    </xf>
    <xf numFmtId="165" fontId="20" fillId="6" borderId="19" xfId="3" applyNumberFormat="1" applyFont="1" applyFill="1" applyBorder="1" applyAlignment="1">
      <alignment horizontal="right"/>
    </xf>
    <xf numFmtId="10" fontId="21" fillId="6" borderId="20" xfId="2" applyNumberFormat="1" applyFont="1" applyFill="1" applyBorder="1"/>
    <xf numFmtId="0" fontId="18" fillId="3" borderId="23" xfId="2" applyFont="1" applyFill="1" applyBorder="1"/>
    <xf numFmtId="0" fontId="18" fillId="3" borderId="25" xfId="2" applyFont="1" applyFill="1" applyBorder="1"/>
    <xf numFmtId="0" fontId="18" fillId="3" borderId="10" xfId="2" applyFont="1" applyFill="1" applyBorder="1"/>
    <xf numFmtId="1" fontId="20" fillId="4" borderId="10" xfId="3" applyNumberFormat="1" applyFont="1" applyFill="1" applyBorder="1" applyProtection="1"/>
    <xf numFmtId="1" fontId="20" fillId="4" borderId="9" xfId="4" applyNumberFormat="1" applyFont="1" applyFill="1" applyBorder="1" applyProtection="1">
      <protection locked="0"/>
    </xf>
    <xf numFmtId="10" fontId="20" fillId="3" borderId="9" xfId="4" applyNumberFormat="1" applyFont="1" applyFill="1" applyBorder="1" applyProtection="1">
      <protection locked="0"/>
    </xf>
    <xf numFmtId="1" fontId="20" fillId="4" borderId="15" xfId="3" applyNumberFormat="1" applyFont="1" applyFill="1" applyBorder="1" applyProtection="1"/>
    <xf numFmtId="1" fontId="20" fillId="4" borderId="26" xfId="4" applyNumberFormat="1" applyFont="1" applyFill="1" applyBorder="1" applyProtection="1">
      <protection locked="0"/>
    </xf>
    <xf numFmtId="10" fontId="20" fillId="3" borderId="27" xfId="4" applyNumberFormat="1" applyFont="1" applyFill="1" applyBorder="1" applyProtection="1">
      <protection locked="0"/>
    </xf>
    <xf numFmtId="165" fontId="20" fillId="5" borderId="1" xfId="2" applyNumberFormat="1" applyFont="1" applyFill="1" applyBorder="1"/>
    <xf numFmtId="10" fontId="20" fillId="5" borderId="16" xfId="4" applyNumberFormat="1" applyFont="1" applyFill="1" applyBorder="1" applyProtection="1">
      <protection locked="0"/>
    </xf>
    <xf numFmtId="1" fontId="20" fillId="4" borderId="17" xfId="3" applyNumberFormat="1" applyFont="1" applyFill="1" applyBorder="1" applyProtection="1"/>
    <xf numFmtId="1" fontId="20" fillId="4" borderId="29" xfId="4" applyNumberFormat="1" applyFont="1" applyFill="1" applyBorder="1" applyProtection="1">
      <protection locked="0"/>
    </xf>
    <xf numFmtId="10" fontId="20" fillId="3" borderId="30" xfId="4" applyNumberFormat="1" applyFont="1" applyFill="1" applyBorder="1" applyProtection="1">
      <protection locked="0"/>
    </xf>
    <xf numFmtId="165" fontId="20" fillId="5" borderId="4" xfId="2" applyNumberFormat="1" applyFont="1" applyFill="1" applyBorder="1"/>
    <xf numFmtId="10" fontId="20" fillId="5" borderId="20" xfId="4" applyNumberFormat="1" applyFont="1" applyFill="1" applyBorder="1" applyProtection="1">
      <protection locked="0"/>
    </xf>
    <xf numFmtId="165" fontId="20" fillId="6" borderId="31" xfId="3" applyNumberFormat="1" applyFont="1" applyFill="1" applyBorder="1" applyAlignment="1">
      <alignment horizontal="right"/>
    </xf>
    <xf numFmtId="1" fontId="20" fillId="4" borderId="21" xfId="3" applyNumberFormat="1" applyFont="1" applyFill="1" applyBorder="1" applyProtection="1"/>
    <xf numFmtId="10" fontId="20" fillId="3" borderId="33" xfId="4" applyNumberFormat="1" applyFont="1" applyFill="1" applyBorder="1" applyProtection="1">
      <protection locked="0"/>
    </xf>
    <xf numFmtId="10" fontId="20" fillId="5" borderId="22" xfId="4" applyNumberFormat="1" applyFont="1" applyFill="1" applyBorder="1" applyProtection="1">
      <protection locked="0"/>
    </xf>
    <xf numFmtId="1" fontId="20" fillId="4" borderId="23" xfId="3" applyNumberFormat="1" applyFont="1" applyFill="1" applyBorder="1" applyProtection="1"/>
    <xf numFmtId="1" fontId="20" fillId="4" borderId="35" xfId="4" applyNumberFormat="1" applyFont="1" applyFill="1" applyBorder="1" applyProtection="1">
      <protection locked="0"/>
    </xf>
    <xf numFmtId="10" fontId="20" fillId="3" borderId="36" xfId="4" applyNumberFormat="1" applyFont="1" applyFill="1" applyBorder="1" applyProtection="1">
      <protection locked="0"/>
    </xf>
    <xf numFmtId="165" fontId="20" fillId="5" borderId="6" xfId="2" applyNumberFormat="1" applyFont="1" applyFill="1" applyBorder="1"/>
    <xf numFmtId="10" fontId="20" fillId="5" borderId="24" xfId="4" applyNumberFormat="1" applyFont="1" applyFill="1" applyBorder="1" applyProtection="1">
      <protection locked="0"/>
    </xf>
    <xf numFmtId="1" fontId="20" fillId="4" borderId="25" xfId="3" applyNumberFormat="1" applyFont="1" applyFill="1" applyBorder="1" applyProtection="1"/>
    <xf numFmtId="1" fontId="20" fillId="4" borderId="38" xfId="4" applyNumberFormat="1" applyFont="1" applyFill="1" applyBorder="1" applyProtection="1">
      <protection locked="0"/>
    </xf>
    <xf numFmtId="10" fontId="20" fillId="3" borderId="39" xfId="4" applyNumberFormat="1" applyFont="1" applyFill="1" applyBorder="1" applyProtection="1">
      <protection locked="0"/>
    </xf>
    <xf numFmtId="10" fontId="20" fillId="5" borderId="40" xfId="4" applyNumberFormat="1" applyFont="1" applyFill="1" applyBorder="1" applyProtection="1">
      <protection locked="0"/>
    </xf>
    <xf numFmtId="0" fontId="23" fillId="0" borderId="0" xfId="2" applyFont="1"/>
    <xf numFmtId="0" fontId="22" fillId="0" borderId="0" xfId="2" applyFont="1"/>
    <xf numFmtId="0" fontId="4" fillId="7" borderId="0" xfId="2" applyFill="1"/>
    <xf numFmtId="0" fontId="4" fillId="7" borderId="1" xfId="2" applyFill="1" applyBorder="1"/>
    <xf numFmtId="0" fontId="14" fillId="4" borderId="10" xfId="2" applyFont="1" applyFill="1" applyBorder="1" applyAlignment="1">
      <alignment horizontal="center"/>
    </xf>
    <xf numFmtId="0" fontId="14" fillId="4" borderId="42" xfId="2" applyFont="1" applyFill="1" applyBorder="1" applyAlignment="1">
      <alignment horizontal="center"/>
    </xf>
    <xf numFmtId="0" fontId="15" fillId="7" borderId="10" xfId="2" applyFont="1" applyFill="1" applyBorder="1" applyAlignment="1">
      <alignment horizontal="center" vertical="center" wrapText="1"/>
    </xf>
    <xf numFmtId="9" fontId="14" fillId="9" borderId="9" xfId="2" applyNumberFormat="1" applyFont="1" applyFill="1" applyBorder="1" applyAlignment="1">
      <alignment horizontal="center" vertical="center" wrapText="1"/>
    </xf>
    <xf numFmtId="3" fontId="4" fillId="0" borderId="0" xfId="2" applyNumberFormat="1"/>
    <xf numFmtId="1" fontId="25" fillId="0" borderId="0" xfId="2" applyNumberFormat="1" applyFont="1"/>
    <xf numFmtId="1" fontId="26" fillId="0" borderId="0" xfId="0" applyNumberFormat="1" applyFont="1"/>
    <xf numFmtId="2" fontId="27" fillId="0" borderId="0" xfId="0" applyNumberFormat="1" applyFont="1"/>
    <xf numFmtId="3" fontId="20" fillId="4" borderId="15" xfId="3" applyNumberFormat="1" applyFont="1" applyFill="1" applyBorder="1" applyProtection="1"/>
    <xf numFmtId="3" fontId="20" fillId="4" borderId="26" xfId="4" applyNumberFormat="1" applyFont="1" applyFill="1" applyBorder="1" applyProtection="1">
      <protection locked="0"/>
    </xf>
    <xf numFmtId="2" fontId="4" fillId="9" borderId="26" xfId="2" applyNumberFormat="1" applyFill="1" applyBorder="1"/>
    <xf numFmtId="10" fontId="21" fillId="6" borderId="42" xfId="2" applyNumberFormat="1" applyFont="1" applyFill="1" applyBorder="1"/>
    <xf numFmtId="2" fontId="4" fillId="0" borderId="0" xfId="2" applyNumberFormat="1"/>
    <xf numFmtId="3" fontId="20" fillId="4" borderId="17" xfId="3" applyNumberFormat="1" applyFont="1" applyFill="1" applyBorder="1" applyProtection="1"/>
    <xf numFmtId="3" fontId="20" fillId="4" borderId="29" xfId="4" applyNumberFormat="1" applyFont="1" applyFill="1" applyBorder="1" applyProtection="1">
      <protection locked="0"/>
    </xf>
    <xf numFmtId="2" fontId="22" fillId="8" borderId="29" xfId="2" applyNumberFormat="1" applyFont="1" applyFill="1" applyBorder="1"/>
    <xf numFmtId="2" fontId="4" fillId="9" borderId="29" xfId="2" applyNumberFormat="1" applyFill="1" applyBorder="1"/>
    <xf numFmtId="10" fontId="21" fillId="6" borderId="43" xfId="2" applyNumberFormat="1" applyFont="1" applyFill="1" applyBorder="1"/>
    <xf numFmtId="0" fontId="18" fillId="7" borderId="17" xfId="2" applyFont="1" applyFill="1" applyBorder="1"/>
    <xf numFmtId="3" fontId="20" fillId="4" borderId="21" xfId="3" applyNumberFormat="1" applyFont="1" applyFill="1" applyBorder="1" applyProtection="1"/>
    <xf numFmtId="3" fontId="20" fillId="4" borderId="32" xfId="4" applyNumberFormat="1" applyFont="1" applyFill="1" applyBorder="1" applyProtection="1">
      <protection locked="0"/>
    </xf>
    <xf numFmtId="3" fontId="20" fillId="4" borderId="23" xfId="3" applyNumberFormat="1" applyFont="1" applyFill="1" applyBorder="1" applyProtection="1"/>
    <xf numFmtId="3" fontId="20" fillId="4" borderId="35" xfId="4" applyNumberFormat="1" applyFont="1" applyFill="1" applyBorder="1" applyProtection="1">
      <protection locked="0"/>
    </xf>
    <xf numFmtId="2" fontId="4" fillId="9" borderId="35" xfId="2" applyNumberFormat="1" applyFill="1" applyBorder="1"/>
    <xf numFmtId="10" fontId="21" fillId="6" borderId="44" xfId="2" applyNumberFormat="1" applyFont="1" applyFill="1" applyBorder="1"/>
    <xf numFmtId="3" fontId="20" fillId="4" borderId="10" xfId="3" applyNumberFormat="1" applyFont="1" applyFill="1" applyBorder="1" applyProtection="1"/>
    <xf numFmtId="3" fontId="20" fillId="4" borderId="9" xfId="3" applyNumberFormat="1" applyFont="1" applyFill="1" applyBorder="1" applyProtection="1"/>
    <xf numFmtId="2" fontId="22" fillId="8" borderId="9" xfId="2" applyNumberFormat="1" applyFont="1" applyFill="1" applyBorder="1"/>
    <xf numFmtId="0" fontId="28" fillId="10" borderId="45" xfId="0" applyFont="1" applyFill="1" applyBorder="1" applyAlignment="1">
      <alignment vertical="center" wrapText="1"/>
    </xf>
    <xf numFmtId="0" fontId="29" fillId="11" borderId="0" xfId="2" applyFont="1" applyFill="1" applyAlignment="1">
      <alignment horizontal="center" vertical="center"/>
    </xf>
    <xf numFmtId="0" fontId="15" fillId="12" borderId="45" xfId="0" applyFont="1" applyFill="1" applyBorder="1" applyAlignment="1">
      <alignment horizontal="center" vertical="center" wrapText="1"/>
    </xf>
    <xf numFmtId="166" fontId="30" fillId="11" borderId="46" xfId="2" applyNumberFormat="1" applyFont="1" applyFill="1" applyBorder="1" applyAlignment="1">
      <alignment horizontal="center" vertical="center" wrapText="1"/>
    </xf>
    <xf numFmtId="166" fontId="30" fillId="13" borderId="46" xfId="2" applyNumberFormat="1" applyFont="1" applyFill="1" applyBorder="1" applyAlignment="1">
      <alignment horizontal="center" vertical="center" wrapText="1"/>
    </xf>
    <xf numFmtId="0" fontId="31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2" fillId="11" borderId="45" xfId="2" applyNumberFormat="1" applyFont="1" applyFill="1" applyBorder="1" applyAlignment="1">
      <alignment horizontal="center"/>
    </xf>
    <xf numFmtId="165" fontId="32" fillId="11" borderId="45" xfId="1" applyNumberFormat="1" applyFont="1" applyFill="1" applyBorder="1" applyAlignment="1">
      <alignment horizontal="center" vertical="center" wrapText="1"/>
    </xf>
    <xf numFmtId="3" fontId="5" fillId="13" borderId="0" xfId="2" applyNumberFormat="1" applyFont="1" applyFill="1" applyAlignment="1">
      <alignment horizontal="center"/>
    </xf>
    <xf numFmtId="1" fontId="5" fillId="13" borderId="0" xfId="2" applyNumberFormat="1" applyFont="1" applyFill="1" applyAlignment="1">
      <alignment horizontal="center"/>
    </xf>
    <xf numFmtId="165" fontId="33" fillId="11" borderId="45" xfId="1" applyNumberFormat="1" applyFont="1" applyFill="1" applyBorder="1" applyAlignment="1">
      <alignment horizontal="center" vertical="center" wrapText="1"/>
    </xf>
    <xf numFmtId="1" fontId="33" fillId="11" borderId="45" xfId="2" applyNumberFormat="1" applyFont="1" applyFill="1" applyBorder="1" applyAlignment="1">
      <alignment horizontal="center" vertical="center" wrapText="1"/>
    </xf>
    <xf numFmtId="167" fontId="10" fillId="0" borderId="0" xfId="2" applyNumberFormat="1" applyFont="1"/>
    <xf numFmtId="1" fontId="23" fillId="0" borderId="0" xfId="2" applyNumberFormat="1" applyFont="1"/>
    <xf numFmtId="167" fontId="4" fillId="0" borderId="0" xfId="2" applyNumberFormat="1"/>
    <xf numFmtId="1" fontId="22" fillId="0" borderId="0" xfId="2" applyNumberFormat="1" applyFont="1"/>
    <xf numFmtId="10" fontId="0" fillId="0" borderId="0" xfId="0" applyNumberFormat="1"/>
    <xf numFmtId="167" fontId="34" fillId="0" borderId="0" xfId="2" applyNumberFormat="1" applyFont="1"/>
    <xf numFmtId="10" fontId="21" fillId="6" borderId="28" xfId="3" applyNumberFormat="1" applyFont="1" applyFill="1" applyBorder="1" applyAlignment="1">
      <alignment horizontal="right"/>
    </xf>
    <xf numFmtId="10" fontId="20" fillId="5" borderId="4" xfId="2" applyNumberFormat="1" applyFont="1" applyFill="1" applyBorder="1"/>
    <xf numFmtId="10" fontId="21" fillId="6" borderId="31" xfId="3" applyNumberFormat="1" applyFont="1" applyFill="1" applyBorder="1" applyAlignment="1">
      <alignment horizontal="right"/>
    </xf>
    <xf numFmtId="165" fontId="21" fillId="6" borderId="28" xfId="3" applyNumberFormat="1" applyFont="1" applyFill="1" applyBorder="1" applyAlignment="1">
      <alignment horizontal="right"/>
    </xf>
    <xf numFmtId="0" fontId="27" fillId="0" borderId="0" xfId="0" applyFont="1"/>
    <xf numFmtId="10" fontId="27" fillId="0" borderId="0" xfId="0" applyNumberFormat="1" applyFont="1"/>
    <xf numFmtId="165" fontId="21" fillId="6" borderId="31" xfId="3" applyNumberFormat="1" applyFont="1" applyFill="1" applyBorder="1" applyAlignment="1">
      <alignment horizontal="right"/>
    </xf>
    <xf numFmtId="3" fontId="20" fillId="4" borderId="25" xfId="3" applyNumberFormat="1" applyFont="1" applyFill="1" applyBorder="1" applyProtection="1"/>
    <xf numFmtId="3" fontId="20" fillId="4" borderId="38" xfId="4" applyNumberFormat="1" applyFont="1" applyFill="1" applyBorder="1" applyProtection="1">
      <protection locked="0"/>
    </xf>
    <xf numFmtId="165" fontId="21" fillId="6" borderId="41" xfId="3" applyNumberFormat="1" applyFont="1" applyFill="1" applyBorder="1" applyAlignment="1">
      <alignment horizontal="right"/>
    </xf>
    <xf numFmtId="165" fontId="21" fillId="6" borderId="37" xfId="3" applyNumberFormat="1" applyFont="1" applyFill="1" applyBorder="1" applyAlignment="1">
      <alignment horizontal="right"/>
    </xf>
    <xf numFmtId="2" fontId="10" fillId="0" borderId="0" xfId="2" applyNumberFormat="1" applyFont="1"/>
    <xf numFmtId="0" fontId="14" fillId="6" borderId="9" xfId="2" applyFont="1" applyFill="1" applyBorder="1" applyAlignment="1">
      <alignment horizontal="center" vertical="center" wrapText="1"/>
    </xf>
    <xf numFmtId="2" fontId="20" fillId="5" borderId="1" xfId="2" applyNumberFormat="1" applyFont="1" applyFill="1" applyBorder="1"/>
    <xf numFmtId="165" fontId="21" fillId="6" borderId="26" xfId="3" applyNumberFormat="1" applyFont="1" applyFill="1" applyBorder="1" applyAlignment="1">
      <alignment horizontal="right"/>
    </xf>
    <xf numFmtId="0" fontId="6" fillId="0" borderId="0" xfId="2" applyFont="1"/>
    <xf numFmtId="3" fontId="6" fillId="0" borderId="0" xfId="2" applyNumberFormat="1" applyFont="1"/>
    <xf numFmtId="2" fontId="20" fillId="5" borderId="4" xfId="2" applyNumberFormat="1" applyFont="1" applyFill="1" applyBorder="1"/>
    <xf numFmtId="165" fontId="21" fillId="6" borderId="29" xfId="3" applyNumberFormat="1" applyFont="1" applyFill="1" applyBorder="1" applyAlignment="1">
      <alignment horizontal="right"/>
    </xf>
    <xf numFmtId="2" fontId="20" fillId="3" borderId="36" xfId="4" applyNumberFormat="1" applyFont="1" applyFill="1" applyBorder="1" applyProtection="1">
      <protection locked="0"/>
    </xf>
    <xf numFmtId="2" fontId="20" fillId="5" borderId="6" xfId="2" applyNumberFormat="1" applyFont="1" applyFill="1" applyBorder="1"/>
    <xf numFmtId="165" fontId="21" fillId="6" borderId="35" xfId="3" applyNumberFormat="1" applyFont="1" applyFill="1" applyBorder="1" applyAlignment="1">
      <alignment horizontal="right"/>
    </xf>
    <xf numFmtId="3" fontId="20" fillId="4" borderId="1" xfId="3" applyNumberFormat="1" applyFont="1" applyFill="1" applyBorder="1" applyProtection="1"/>
    <xf numFmtId="3" fontId="20" fillId="4" borderId="42" xfId="4" applyNumberFormat="1" applyFont="1" applyFill="1" applyBorder="1" applyProtection="1">
      <protection locked="0"/>
    </xf>
    <xf numFmtId="2" fontId="20" fillId="3" borderId="2" xfId="4" applyNumberFormat="1" applyFont="1" applyFill="1" applyBorder="1" applyProtection="1">
      <protection locked="0"/>
    </xf>
    <xf numFmtId="165" fontId="21" fillId="6" borderId="42" xfId="3" applyNumberFormat="1" applyFont="1" applyFill="1" applyBorder="1" applyAlignment="1">
      <alignment horizontal="right"/>
    </xf>
    <xf numFmtId="2" fontId="20" fillId="3" borderId="39" xfId="4" applyNumberFormat="1" applyFont="1" applyFill="1" applyBorder="1" applyProtection="1">
      <protection locked="0"/>
    </xf>
    <xf numFmtId="165" fontId="21" fillId="6" borderId="38" xfId="3" applyNumberFormat="1" applyFont="1" applyFill="1" applyBorder="1" applyAlignment="1">
      <alignment horizontal="right"/>
    </xf>
    <xf numFmtId="2" fontId="20" fillId="3" borderId="9" xfId="4" applyNumberFormat="1" applyFont="1" applyFill="1" applyBorder="1" applyProtection="1">
      <protection locked="0"/>
    </xf>
    <xf numFmtId="10" fontId="23" fillId="0" borderId="0" xfId="2" applyNumberFormat="1" applyFont="1"/>
    <xf numFmtId="0" fontId="19" fillId="0" borderId="0" xfId="2" applyFont="1"/>
    <xf numFmtId="0" fontId="19" fillId="0" borderId="0" xfId="2" applyFont="1" applyAlignment="1">
      <alignment horizontal="center"/>
    </xf>
    <xf numFmtId="0" fontId="16" fillId="4" borderId="49" xfId="2" applyFont="1" applyFill="1" applyBorder="1" applyAlignment="1">
      <alignment horizontal="center" vertical="center" wrapText="1"/>
    </xf>
    <xf numFmtId="0" fontId="39" fillId="0" borderId="52" xfId="2" applyFont="1" applyBorder="1"/>
    <xf numFmtId="0" fontId="4" fillId="0" borderId="0" xfId="2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10" fontId="39" fillId="0" borderId="0" xfId="2" applyNumberFormat="1" applyFont="1"/>
    <xf numFmtId="1" fontId="20" fillId="0" borderId="54" xfId="4" applyNumberFormat="1" applyFont="1" applyFill="1" applyBorder="1" applyProtection="1">
      <protection locked="0"/>
    </xf>
    <xf numFmtId="165" fontId="21" fillId="6" borderId="34" xfId="3" applyNumberFormat="1" applyFont="1" applyFill="1" applyBorder="1" applyAlignment="1">
      <alignment horizontal="right"/>
    </xf>
    <xf numFmtId="10" fontId="32" fillId="11" borderId="45" xfId="1" applyNumberFormat="1" applyFont="1" applyFill="1" applyBorder="1" applyAlignment="1">
      <alignment horizontal="center"/>
    </xf>
    <xf numFmtId="10" fontId="32" fillId="11" borderId="45" xfId="1" applyNumberFormat="1" applyFont="1" applyFill="1" applyBorder="1" applyAlignment="1">
      <alignment horizontal="center" vertical="center" wrapText="1"/>
    </xf>
    <xf numFmtId="1" fontId="44" fillId="0" borderId="62" xfId="5" applyNumberFormat="1" applyFont="1" applyBorder="1" applyAlignment="1">
      <alignment horizontal="center"/>
    </xf>
    <xf numFmtId="1" fontId="44" fillId="0" borderId="45" xfId="5" applyNumberFormat="1" applyFont="1" applyBorder="1" applyAlignment="1">
      <alignment horizontal="center"/>
    </xf>
    <xf numFmtId="1" fontId="45" fillId="0" borderId="63" xfId="5" applyNumberFormat="1" applyFont="1" applyBorder="1"/>
    <xf numFmtId="1" fontId="45" fillId="7" borderId="64" xfId="5" applyNumberFormat="1" applyFont="1" applyFill="1" applyBorder="1"/>
    <xf numFmtId="1" fontId="45" fillId="0" borderId="65" xfId="5" applyNumberFormat="1" applyFont="1" applyBorder="1"/>
    <xf numFmtId="1" fontId="45" fillId="7" borderId="66" xfId="5" applyNumberFormat="1" applyFont="1" applyFill="1" applyBorder="1"/>
    <xf numFmtId="165" fontId="4" fillId="0" borderId="0" xfId="2" applyNumberFormat="1"/>
    <xf numFmtId="0" fontId="11" fillId="0" borderId="0" xfId="6" applyFont="1" applyAlignment="1">
      <alignment horizontal="center"/>
    </xf>
    <xf numFmtId="1" fontId="10" fillId="0" borderId="0" xfId="6" applyNumberFormat="1" applyFont="1"/>
    <xf numFmtId="0" fontId="46" fillId="0" borderId="0" xfId="0" applyFont="1"/>
    <xf numFmtId="165" fontId="46" fillId="0" borderId="0" xfId="0" applyNumberFormat="1" applyFont="1"/>
    <xf numFmtId="10" fontId="46" fillId="0" borderId="0" xfId="0" applyNumberFormat="1" applyFont="1"/>
    <xf numFmtId="10" fontId="10" fillId="0" borderId="0" xfId="6" applyNumberFormat="1" applyFont="1"/>
    <xf numFmtId="0" fontId="10" fillId="0" borderId="0" xfId="6" applyFont="1"/>
    <xf numFmtId="0" fontId="19" fillId="0" borderId="0" xfId="6"/>
    <xf numFmtId="10" fontId="19" fillId="0" borderId="0" xfId="6" applyNumberFormat="1"/>
    <xf numFmtId="0" fontId="47" fillId="0" borderId="0" xfId="6" applyFont="1"/>
    <xf numFmtId="1" fontId="19" fillId="0" borderId="0" xfId="6" applyNumberFormat="1"/>
    <xf numFmtId="165" fontId="0" fillId="0" borderId="0" xfId="0" applyNumberFormat="1"/>
    <xf numFmtId="0" fontId="19" fillId="7" borderId="0" xfId="6" applyFill="1"/>
    <xf numFmtId="0" fontId="48" fillId="0" borderId="0" xfId="0" applyFont="1"/>
    <xf numFmtId="165" fontId="48" fillId="0" borderId="0" xfId="0" applyNumberFormat="1" applyFont="1"/>
    <xf numFmtId="10" fontId="48" fillId="0" borderId="0" xfId="0" applyNumberFormat="1" applyFont="1"/>
    <xf numFmtId="0" fontId="49" fillId="4" borderId="9" xfId="7" applyFont="1" applyFill="1" applyBorder="1" applyAlignment="1">
      <alignment horizontal="center" vertical="center" wrapText="1"/>
    </xf>
    <xf numFmtId="1" fontId="19" fillId="0" borderId="0" xfId="7" applyNumberFormat="1"/>
    <xf numFmtId="165" fontId="19" fillId="0" borderId="0" xfId="6" applyNumberFormat="1"/>
    <xf numFmtId="0" fontId="16" fillId="4" borderId="9" xfId="7" applyFont="1" applyFill="1" applyBorder="1" applyAlignment="1">
      <alignment horizontal="center" vertical="center" wrapText="1"/>
    </xf>
    <xf numFmtId="9" fontId="17" fillId="5" borderId="13" xfId="6" applyNumberFormat="1" applyFont="1" applyFill="1" applyBorder="1" applyAlignment="1">
      <alignment horizontal="center" vertical="center" wrapText="1"/>
    </xf>
    <xf numFmtId="0" fontId="14" fillId="6" borderId="8" xfId="6" applyFont="1" applyFill="1" applyBorder="1" applyAlignment="1">
      <alignment horizontal="center" vertical="center" wrapText="1"/>
    </xf>
    <xf numFmtId="1" fontId="47" fillId="0" borderId="45" xfId="6" applyNumberFormat="1" applyFont="1" applyBorder="1" applyAlignment="1">
      <alignment horizontal="center" vertical="center" wrapText="1"/>
    </xf>
    <xf numFmtId="1" fontId="16" fillId="3" borderId="45" xfId="7" applyNumberFormat="1" applyFont="1" applyFill="1" applyBorder="1" applyAlignment="1">
      <alignment horizontal="center" vertical="center" wrapText="1"/>
    </xf>
    <xf numFmtId="10" fontId="16" fillId="3" borderId="45" xfId="7" applyNumberFormat="1" applyFont="1" applyFill="1" applyBorder="1" applyAlignment="1">
      <alignment horizontal="center" vertical="center" wrapText="1"/>
    </xf>
    <xf numFmtId="0" fontId="19" fillId="18" borderId="45" xfId="6" applyFill="1" applyBorder="1" applyAlignment="1">
      <alignment horizontal="center" vertical="center" wrapText="1"/>
    </xf>
    <xf numFmtId="0" fontId="19" fillId="0" borderId="45" xfId="6" applyBorder="1" applyAlignment="1">
      <alignment horizontal="center" vertical="center" wrapText="1"/>
    </xf>
    <xf numFmtId="3" fontId="40" fillId="4" borderId="15" xfId="7" applyNumberFormat="1" applyFont="1" applyFill="1" applyBorder="1" applyAlignment="1">
      <alignment horizontal="right" vertical="center" wrapText="1"/>
    </xf>
    <xf numFmtId="10" fontId="6" fillId="0" borderId="0" xfId="2" applyNumberFormat="1" applyFont="1"/>
    <xf numFmtId="1" fontId="22" fillId="0" borderId="55" xfId="6" applyNumberFormat="1" applyFont="1" applyBorder="1"/>
    <xf numFmtId="1" fontId="50" fillId="0" borderId="0" xfId="7" applyNumberFormat="1" applyFont="1"/>
    <xf numFmtId="1" fontId="50" fillId="0" borderId="0" xfId="6" applyNumberFormat="1" applyFont="1"/>
    <xf numFmtId="10" fontId="50" fillId="19" borderId="45" xfId="3" applyNumberFormat="1" applyFont="1" applyFill="1" applyBorder="1" applyProtection="1"/>
    <xf numFmtId="10" fontId="20" fillId="3" borderId="4" xfId="6" applyNumberFormat="1" applyFont="1" applyFill="1" applyBorder="1"/>
    <xf numFmtId="10" fontId="20" fillId="5" borderId="4" xfId="6" applyNumberFormat="1" applyFont="1" applyFill="1" applyBorder="1"/>
    <xf numFmtId="10" fontId="20" fillId="3" borderId="45" xfId="7" applyNumberFormat="1" applyFont="1" applyFill="1" applyBorder="1"/>
    <xf numFmtId="10" fontId="50" fillId="0" borderId="0" xfId="6" applyNumberFormat="1" applyFont="1"/>
    <xf numFmtId="10" fontId="50" fillId="18" borderId="0" xfId="6" applyNumberFormat="1" applyFont="1" applyFill="1"/>
    <xf numFmtId="0" fontId="50" fillId="0" borderId="0" xfId="6" applyFont="1"/>
    <xf numFmtId="0" fontId="50" fillId="18" borderId="0" xfId="6" applyFont="1" applyFill="1"/>
    <xf numFmtId="1" fontId="50" fillId="7" borderId="45" xfId="6" applyNumberFormat="1" applyFont="1" applyFill="1" applyBorder="1"/>
    <xf numFmtId="0" fontId="22" fillId="0" borderId="0" xfId="6" applyFont="1"/>
    <xf numFmtId="1" fontId="22" fillId="0" borderId="0" xfId="6" applyNumberFormat="1" applyFont="1"/>
    <xf numFmtId="165" fontId="27" fillId="0" borderId="0" xfId="0" applyNumberFormat="1" applyFont="1"/>
    <xf numFmtId="1" fontId="50" fillId="7" borderId="46" xfId="6" applyNumberFormat="1" applyFont="1" applyFill="1" applyBorder="1"/>
    <xf numFmtId="1" fontId="22" fillId="20" borderId="0" xfId="6" applyNumberFormat="1" applyFont="1" applyFill="1"/>
    <xf numFmtId="2" fontId="51" fillId="0" borderId="0" xfId="6" applyNumberFormat="1" applyFont="1" applyAlignment="1">
      <alignment horizontal="center"/>
    </xf>
    <xf numFmtId="0" fontId="23" fillId="0" borderId="0" xfId="6" applyFont="1"/>
    <xf numFmtId="2" fontId="51" fillId="0" borderId="0" xfId="2" applyNumberFormat="1" applyFont="1" applyAlignment="1">
      <alignment horizontal="left"/>
    </xf>
    <xf numFmtId="168" fontId="47" fillId="0" borderId="0" xfId="6" applyNumberFormat="1" applyFont="1"/>
    <xf numFmtId="2" fontId="47" fillId="0" borderId="0" xfId="6" applyNumberFormat="1" applyFont="1"/>
    <xf numFmtId="0" fontId="49" fillId="4" borderId="44" xfId="7" applyFont="1" applyFill="1" applyBorder="1" applyAlignment="1">
      <alignment horizontal="center" vertical="center" wrapText="1"/>
    </xf>
    <xf numFmtId="2" fontId="20" fillId="5" borderId="16" xfId="4" applyNumberFormat="1" applyFont="1" applyFill="1" applyBorder="1" applyProtection="1">
      <protection locked="0"/>
    </xf>
    <xf numFmtId="2" fontId="20" fillId="5" borderId="20" xfId="4" applyNumberFormat="1" applyFont="1" applyFill="1" applyBorder="1" applyProtection="1">
      <protection locked="0"/>
    </xf>
    <xf numFmtId="2" fontId="22" fillId="0" borderId="0" xfId="6" applyNumberFormat="1" applyFont="1"/>
    <xf numFmtId="2" fontId="50" fillId="0" borderId="0" xfId="6" applyNumberFormat="1" applyFont="1"/>
    <xf numFmtId="168" fontId="22" fillId="0" borderId="0" xfId="6" applyNumberFormat="1" applyFont="1"/>
    <xf numFmtId="168" fontId="20" fillId="3" borderId="9" xfId="4" applyNumberFormat="1" applyFont="1" applyFill="1" applyBorder="1" applyProtection="1">
      <protection locked="0"/>
    </xf>
    <xf numFmtId="2" fontId="19" fillId="0" borderId="0" xfId="6" applyNumberFormat="1"/>
    <xf numFmtId="0" fontId="0" fillId="21" borderId="0" xfId="0" applyFill="1"/>
    <xf numFmtId="1" fontId="20" fillId="4" borderId="9" xfId="3" applyNumberFormat="1" applyFont="1" applyFill="1" applyBorder="1" applyProtection="1"/>
    <xf numFmtId="0" fontId="14" fillId="6" borderId="44" xfId="2" applyFont="1" applyFill="1" applyBorder="1" applyAlignment="1">
      <alignment horizontal="center" vertical="center" wrapText="1"/>
    </xf>
    <xf numFmtId="0" fontId="52" fillId="0" borderId="0" xfId="2" applyFont="1" applyAlignment="1">
      <alignment horizontal="center"/>
    </xf>
    <xf numFmtId="1" fontId="10" fillId="0" borderId="0" xfId="2" applyNumberFormat="1" applyFont="1"/>
    <xf numFmtId="0" fontId="38" fillId="4" borderId="10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165" fontId="21" fillId="3" borderId="27" xfId="4" applyNumberFormat="1" applyFont="1" applyFill="1" applyBorder="1" applyProtection="1">
      <protection locked="0"/>
    </xf>
    <xf numFmtId="165" fontId="21" fillId="3" borderId="30" xfId="4" applyNumberFormat="1" applyFont="1" applyFill="1" applyBorder="1" applyProtection="1">
      <protection locked="0"/>
    </xf>
    <xf numFmtId="165" fontId="21" fillId="3" borderId="39" xfId="4" applyNumberFormat="1" applyFont="1" applyFill="1" applyBorder="1" applyProtection="1">
      <protection locked="0"/>
    </xf>
    <xf numFmtId="0" fontId="54" fillId="19" borderId="7" xfId="8" applyFont="1" applyFill="1" applyBorder="1" applyAlignment="1">
      <alignment horizontal="center"/>
    </xf>
    <xf numFmtId="0" fontId="55" fillId="19" borderId="0" xfId="8" applyFont="1" applyFill="1" applyProtection="1">
      <protection locked="0"/>
    </xf>
    <xf numFmtId="0" fontId="56" fillId="5" borderId="2" xfId="8" applyFont="1" applyFill="1" applyBorder="1" applyAlignment="1">
      <alignment horizontal="center" vertical="center" wrapText="1"/>
    </xf>
    <xf numFmtId="0" fontId="59" fillId="19" borderId="0" xfId="8" applyFont="1" applyFill="1"/>
    <xf numFmtId="10" fontId="60" fillId="22" borderId="70" xfId="2" applyNumberFormat="1" applyFont="1" applyFill="1" applyBorder="1" applyAlignment="1">
      <alignment horizontal="center" vertical="center"/>
    </xf>
    <xf numFmtId="10" fontId="60" fillId="22" borderId="54" xfId="2" applyNumberFormat="1" applyFont="1" applyFill="1" applyBorder="1" applyAlignment="1">
      <alignment horizontal="center" vertical="center"/>
    </xf>
    <xf numFmtId="2" fontId="60" fillId="22" borderId="54" xfId="2" applyNumberFormat="1" applyFont="1" applyFill="1" applyBorder="1" applyAlignment="1">
      <alignment horizontal="center" vertical="center"/>
    </xf>
    <xf numFmtId="10" fontId="53" fillId="22" borderId="54" xfId="2" applyNumberFormat="1" applyFont="1" applyFill="1" applyBorder="1" applyAlignment="1">
      <alignment horizontal="center" vertical="center"/>
    </xf>
    <xf numFmtId="2" fontId="60" fillId="22" borderId="54" xfId="8" applyNumberFormat="1" applyFont="1" applyFill="1" applyBorder="1" applyAlignment="1">
      <alignment horizontal="center" vertical="center"/>
    </xf>
    <xf numFmtId="10" fontId="60" fillId="22" borderId="53" xfId="2" applyNumberFormat="1" applyFont="1" applyFill="1" applyBorder="1" applyAlignment="1">
      <alignment horizontal="center" vertical="center"/>
    </xf>
    <xf numFmtId="0" fontId="55" fillId="19" borderId="0" xfId="8" applyFont="1" applyFill="1"/>
    <xf numFmtId="165" fontId="42" fillId="0" borderId="27" xfId="8" applyNumberFormat="1" applyFont="1" applyBorder="1"/>
    <xf numFmtId="10" fontId="60" fillId="23" borderId="26" xfId="8" applyNumberFormat="1" applyFont="1" applyFill="1" applyBorder="1"/>
    <xf numFmtId="10" fontId="42" fillId="0" borderId="0" xfId="8" applyNumberFormat="1" applyFont="1"/>
    <xf numFmtId="0" fontId="42" fillId="0" borderId="0" xfId="8" applyFont="1"/>
    <xf numFmtId="165" fontId="42" fillId="0" borderId="30" xfId="8" applyNumberFormat="1" applyFont="1" applyBorder="1"/>
    <xf numFmtId="10" fontId="60" fillId="23" borderId="29" xfId="8" applyNumberFormat="1" applyFont="1" applyFill="1" applyBorder="1"/>
    <xf numFmtId="0" fontId="19" fillId="0" borderId="0" xfId="8"/>
    <xf numFmtId="10" fontId="19" fillId="0" borderId="0" xfId="8" applyNumberFormat="1"/>
    <xf numFmtId="10" fontId="60" fillId="22" borderId="49" xfId="2" applyNumberFormat="1" applyFont="1" applyFill="1" applyBorder="1" applyAlignment="1">
      <alignment horizontal="center" vertical="center"/>
    </xf>
    <xf numFmtId="10" fontId="19" fillId="0" borderId="33" xfId="8" applyNumberFormat="1" applyBorder="1"/>
    <xf numFmtId="10" fontId="47" fillId="0" borderId="33" xfId="8" applyNumberFormat="1" applyFont="1" applyBorder="1"/>
    <xf numFmtId="10" fontId="19" fillId="0" borderId="34" xfId="8" applyNumberFormat="1" applyBorder="1"/>
    <xf numFmtId="10" fontId="63" fillId="23" borderId="32" xfId="8" applyNumberFormat="1" applyFont="1" applyFill="1" applyBorder="1"/>
    <xf numFmtId="10" fontId="19" fillId="0" borderId="30" xfId="8" applyNumberFormat="1" applyBorder="1"/>
    <xf numFmtId="10" fontId="63" fillId="9" borderId="29" xfId="8" applyNumberFormat="1" applyFont="1" applyFill="1" applyBorder="1"/>
    <xf numFmtId="0" fontId="64" fillId="0" borderId="0" xfId="5" applyFont="1"/>
    <xf numFmtId="0" fontId="65" fillId="0" borderId="0" xfId="5" applyFont="1"/>
    <xf numFmtId="0" fontId="66" fillId="0" borderId="0" xfId="5" applyFont="1"/>
    <xf numFmtId="0" fontId="65" fillId="7" borderId="0" xfId="5" applyFont="1" applyFill="1"/>
    <xf numFmtId="0" fontId="14" fillId="24" borderId="45" xfId="5" applyFont="1" applyFill="1" applyBorder="1" applyAlignment="1">
      <alignment horizontal="center" vertical="center" wrapText="1"/>
    </xf>
    <xf numFmtId="0" fontId="13" fillId="0" borderId="0" xfId="5" applyFont="1"/>
    <xf numFmtId="0" fontId="47" fillId="0" borderId="0" xfId="5" applyFont="1"/>
    <xf numFmtId="0" fontId="69" fillId="0" borderId="0" xfId="5" applyFont="1"/>
    <xf numFmtId="0" fontId="61" fillId="0" borderId="0" xfId="5" applyFont="1"/>
    <xf numFmtId="0" fontId="70" fillId="0" borderId="0" xfId="5" applyFont="1"/>
    <xf numFmtId="0" fontId="44" fillId="0" borderId="0" xfId="5" applyFont="1"/>
    <xf numFmtId="0" fontId="61" fillId="0" borderId="45" xfId="5" applyFont="1" applyBorder="1" applyAlignment="1">
      <alignment horizontal="center"/>
    </xf>
    <xf numFmtId="0" fontId="61" fillId="0" borderId="77" xfId="5" applyFont="1" applyBorder="1" applyAlignment="1">
      <alignment horizontal="center"/>
    </xf>
    <xf numFmtId="0" fontId="61" fillId="0" borderId="78" xfId="5" applyFont="1" applyBorder="1"/>
    <xf numFmtId="0" fontId="61" fillId="0" borderId="79" xfId="5" applyFont="1" applyBorder="1"/>
    <xf numFmtId="1" fontId="45" fillId="7" borderId="63" xfId="5" applyNumberFormat="1" applyFont="1" applyFill="1" applyBorder="1"/>
    <xf numFmtId="0" fontId="44" fillId="0" borderId="0" xfId="5" quotePrefix="1" applyFont="1"/>
    <xf numFmtId="1" fontId="45" fillId="7" borderId="65" xfId="5" applyNumberFormat="1" applyFont="1" applyFill="1" applyBorder="1"/>
    <xf numFmtId="0" fontId="44" fillId="0" borderId="60" xfId="5" applyFont="1" applyBorder="1"/>
    <xf numFmtId="0" fontId="44" fillId="24" borderId="9" xfId="0" applyFont="1" applyFill="1" applyBorder="1"/>
    <xf numFmtId="0" fontId="44" fillId="0" borderId="0" xfId="0" applyFont="1"/>
    <xf numFmtId="0" fontId="61" fillId="0" borderId="45" xfId="0" applyFont="1" applyBorder="1"/>
    <xf numFmtId="0" fontId="64" fillId="0" borderId="0" xfId="0" applyFont="1"/>
    <xf numFmtId="0" fontId="61" fillId="0" borderId="0" xfId="0" applyFont="1"/>
    <xf numFmtId="0" fontId="61" fillId="0" borderId="55" xfId="5" applyFont="1" applyBorder="1"/>
    <xf numFmtId="0" fontId="61" fillId="0" borderId="57" xfId="5" applyFont="1" applyBorder="1"/>
    <xf numFmtId="0" fontId="61" fillId="0" borderId="45" xfId="5" applyFont="1" applyBorder="1"/>
    <xf numFmtId="0" fontId="73" fillId="0" borderId="0" xfId="5" applyFont="1"/>
    <xf numFmtId="0" fontId="13" fillId="23" borderId="0" xfId="5" applyFont="1" applyFill="1" applyAlignment="1">
      <alignment horizontal="center" vertical="center" wrapText="1"/>
    </xf>
    <xf numFmtId="0" fontId="61" fillId="25" borderId="0" xfId="5" applyFont="1" applyFill="1" applyAlignment="1">
      <alignment horizontal="center"/>
    </xf>
    <xf numFmtId="0" fontId="61" fillId="0" borderId="0" xfId="5" applyFont="1" applyAlignment="1">
      <alignment horizontal="center"/>
    </xf>
    <xf numFmtId="3" fontId="61" fillId="0" borderId="0" xfId="5" applyNumberFormat="1" applyFont="1"/>
    <xf numFmtId="0" fontId="61" fillId="26" borderId="45" xfId="0" applyFont="1" applyFill="1" applyBorder="1"/>
    <xf numFmtId="0" fontId="61" fillId="26" borderId="0" xfId="0" applyFont="1" applyFill="1"/>
    <xf numFmtId="0" fontId="14" fillId="0" borderId="0" xfId="5" applyFont="1" applyAlignment="1">
      <alignment wrapText="1"/>
    </xf>
    <xf numFmtId="0" fontId="71" fillId="0" borderId="0" xfId="5" applyFont="1"/>
    <xf numFmtId="0" fontId="74" fillId="0" borderId="0" xfId="5" applyFont="1"/>
    <xf numFmtId="0" fontId="64" fillId="27" borderId="0" xfId="5" applyFont="1" applyFill="1"/>
    <xf numFmtId="0" fontId="76" fillId="0" borderId="0" xfId="0" applyFont="1"/>
    <xf numFmtId="0" fontId="61" fillId="27" borderId="0" xfId="5" applyFont="1" applyFill="1"/>
    <xf numFmtId="0" fontId="71" fillId="0" borderId="48" xfId="0" applyFont="1" applyBorder="1" applyAlignment="1">
      <alignment horizontal="center" vertical="center" wrapText="1"/>
    </xf>
    <xf numFmtId="0" fontId="71" fillId="0" borderId="81" xfId="0" applyFont="1" applyBorder="1" applyAlignment="1">
      <alignment horizontal="center" vertical="center" wrapText="1"/>
    </xf>
    <xf numFmtId="0" fontId="77" fillId="0" borderId="48" xfId="0" applyFont="1" applyBorder="1" applyAlignment="1">
      <alignment horizontal="center" vertical="center" wrapText="1"/>
    </xf>
    <xf numFmtId="0" fontId="77" fillId="0" borderId="81" xfId="0" applyFont="1" applyBorder="1" applyAlignment="1">
      <alignment horizontal="center" vertical="center" wrapText="1"/>
    </xf>
    <xf numFmtId="1" fontId="64" fillId="0" borderId="62" xfId="5" applyNumberFormat="1" applyFont="1" applyBorder="1" applyAlignment="1">
      <alignment horizontal="center"/>
    </xf>
    <xf numFmtId="1" fontId="64" fillId="0" borderId="45" xfId="5" applyNumberFormat="1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64" fillId="0" borderId="57" xfId="5" applyFont="1" applyBorder="1"/>
    <xf numFmtId="0" fontId="64" fillId="0" borderId="55" xfId="5" applyFont="1" applyBorder="1"/>
    <xf numFmtId="0" fontId="64" fillId="0" borderId="60" xfId="5" applyFont="1" applyBorder="1"/>
    <xf numFmtId="0" fontId="64" fillId="24" borderId="9" xfId="0" applyFont="1" applyFill="1" applyBorder="1"/>
    <xf numFmtId="0" fontId="72" fillId="16" borderId="46" xfId="5" applyFont="1" applyFill="1" applyBorder="1" applyAlignment="1">
      <alignment horizontal="center" vertical="center" wrapText="1"/>
    </xf>
    <xf numFmtId="0" fontId="72" fillId="16" borderId="67" xfId="5" applyFont="1" applyFill="1" applyBorder="1" applyAlignment="1">
      <alignment horizontal="center" vertical="center" wrapText="1"/>
    </xf>
    <xf numFmtId="0" fontId="72" fillId="16" borderId="46" xfId="0" applyFont="1" applyFill="1" applyBorder="1" applyAlignment="1">
      <alignment horizontal="center" vertical="center" wrapText="1"/>
    </xf>
    <xf numFmtId="0" fontId="64" fillId="25" borderId="71" xfId="5" applyFont="1" applyFill="1" applyBorder="1"/>
    <xf numFmtId="0" fontId="64" fillId="25" borderId="54" xfId="5" applyFont="1" applyFill="1" applyBorder="1"/>
    <xf numFmtId="0" fontId="64" fillId="25" borderId="49" xfId="5" applyFont="1" applyFill="1" applyBorder="1"/>
    <xf numFmtId="0" fontId="45" fillId="0" borderId="0" xfId="5" applyFont="1"/>
    <xf numFmtId="1" fontId="64" fillId="0" borderId="65" xfId="5" applyNumberFormat="1" applyFont="1" applyBorder="1"/>
    <xf numFmtId="1" fontId="64" fillId="0" borderId="63" xfId="5" applyNumberFormat="1" applyFont="1" applyBorder="1"/>
    <xf numFmtId="0" fontId="27" fillId="0" borderId="0" xfId="10" applyFont="1"/>
    <xf numFmtId="0" fontId="76" fillId="0" borderId="0" xfId="10" applyFont="1"/>
    <xf numFmtId="0" fontId="79" fillId="0" borderId="0" xfId="10" applyFont="1"/>
    <xf numFmtId="0" fontId="80" fillId="0" borderId="2" xfId="10" applyFont="1" applyBorder="1" applyAlignment="1">
      <alignment horizontal="center" vertical="center" wrapText="1"/>
    </xf>
    <xf numFmtId="0" fontId="80" fillId="29" borderId="83" xfId="10" applyFont="1" applyFill="1" applyBorder="1" applyAlignment="1">
      <alignment horizontal="center" vertical="center" wrapText="1"/>
    </xf>
    <xf numFmtId="0" fontId="27" fillId="0" borderId="2" xfId="10" applyFont="1" applyBorder="1" applyAlignment="1">
      <alignment horizontal="center" vertical="center" wrapText="1"/>
    </xf>
    <xf numFmtId="0" fontId="27" fillId="0" borderId="2" xfId="10" applyFont="1" applyBorder="1"/>
    <xf numFmtId="0" fontId="80" fillId="29" borderId="90" xfId="10" applyFont="1" applyFill="1" applyBorder="1" applyAlignment="1">
      <alignment horizontal="center" vertical="center" wrapText="1"/>
    </xf>
    <xf numFmtId="0" fontId="80" fillId="0" borderId="7" xfId="10" applyFont="1" applyBorder="1" applyAlignment="1">
      <alignment horizontal="center" vertical="center" wrapText="1"/>
    </xf>
    <xf numFmtId="0" fontId="80" fillId="29" borderId="92" xfId="10" applyFont="1" applyFill="1" applyBorder="1" applyAlignment="1">
      <alignment horizontal="center" vertical="center" wrapText="1"/>
    </xf>
    <xf numFmtId="0" fontId="80" fillId="0" borderId="0" xfId="10" applyFont="1" applyAlignment="1">
      <alignment horizontal="center" vertical="center" wrapText="1"/>
    </xf>
    <xf numFmtId="0" fontId="80" fillId="29" borderId="93" xfId="10" applyFont="1" applyFill="1" applyBorder="1" applyAlignment="1">
      <alignment horizontal="center" vertical="center" wrapText="1"/>
    </xf>
    <xf numFmtId="0" fontId="80" fillId="29" borderId="94" xfId="10" applyFont="1" applyFill="1" applyBorder="1" applyAlignment="1">
      <alignment horizontal="center" vertical="center" wrapText="1"/>
    </xf>
    <xf numFmtId="0" fontId="80" fillId="29" borderId="95" xfId="10" applyFont="1" applyFill="1" applyBorder="1" applyAlignment="1">
      <alignment horizontal="center" vertical="center" wrapText="1"/>
    </xf>
    <xf numFmtId="3" fontId="27" fillId="0" borderId="80" xfId="10" applyNumberFormat="1" applyFont="1" applyBorder="1"/>
    <xf numFmtId="0" fontId="27" fillId="0" borderId="52" xfId="10" applyFont="1" applyBorder="1"/>
    <xf numFmtId="3" fontId="81" fillId="0" borderId="80" xfId="10" applyNumberFormat="1" applyFont="1" applyBorder="1"/>
    <xf numFmtId="3" fontId="27" fillId="0" borderId="51" xfId="10" applyNumberFormat="1" applyFont="1" applyBorder="1"/>
    <xf numFmtId="0" fontId="5" fillId="29" borderId="96" xfId="10" applyFont="1" applyFill="1" applyBorder="1" applyAlignment="1">
      <alignment horizontal="left" vertical="center" wrapText="1"/>
    </xf>
    <xf numFmtId="3" fontId="27" fillId="0" borderId="19" xfId="10" applyNumberFormat="1" applyFont="1" applyBorder="1"/>
    <xf numFmtId="3" fontId="27" fillId="0" borderId="57" xfId="10" applyNumberFormat="1" applyFont="1" applyBorder="1"/>
    <xf numFmtId="0" fontId="5" fillId="29" borderId="97" xfId="10" applyFont="1" applyFill="1" applyBorder="1" applyAlignment="1">
      <alignment horizontal="left" vertical="center" wrapText="1"/>
    </xf>
    <xf numFmtId="0" fontId="27" fillId="0" borderId="11" xfId="10" applyFont="1" applyBorder="1"/>
    <xf numFmtId="3" fontId="27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0" fillId="30" borderId="9" xfId="0" applyFont="1" applyFill="1" applyBorder="1" applyAlignment="1">
      <alignment horizontal="center" vertical="center" wrapText="1"/>
    </xf>
    <xf numFmtId="0" fontId="60" fillId="30" borderId="12" xfId="0" applyFont="1" applyFill="1" applyBorder="1" applyAlignment="1">
      <alignment horizontal="center" vertical="center" wrapText="1"/>
    </xf>
    <xf numFmtId="0" fontId="27" fillId="20" borderId="0" xfId="0" applyFont="1" applyFill="1"/>
    <xf numFmtId="166" fontId="27" fillId="0" borderId="0" xfId="0" applyNumberFormat="1" applyFont="1"/>
    <xf numFmtId="0" fontId="83" fillId="0" borderId="0" xfId="0" applyFont="1"/>
    <xf numFmtId="0" fontId="27" fillId="0" borderId="44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9" fontId="27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0" fontId="27" fillId="0" borderId="44" xfId="0" applyFont="1" applyBorder="1" applyAlignment="1">
      <alignment horizontal="center" vertical="center"/>
    </xf>
    <xf numFmtId="9" fontId="60" fillId="0" borderId="12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27" fillId="31" borderId="9" xfId="0" applyFont="1" applyFill="1" applyBorder="1" applyAlignment="1">
      <alignment horizontal="center" vertical="center" wrapText="1"/>
    </xf>
    <xf numFmtId="0" fontId="27" fillId="31" borderId="12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32" borderId="8" xfId="0" applyFont="1" applyFill="1" applyBorder="1" applyAlignment="1">
      <alignment vertical="center" wrapText="1"/>
    </xf>
    <xf numFmtId="9" fontId="27" fillId="0" borderId="8" xfId="0" applyNumberFormat="1" applyFont="1" applyBorder="1" applyAlignment="1">
      <alignment horizontal="center" vertical="center" wrapText="1"/>
    </xf>
    <xf numFmtId="1" fontId="27" fillId="0" borderId="8" xfId="0" applyNumberFormat="1" applyFont="1" applyBorder="1" applyAlignment="1">
      <alignment horizontal="center" vertical="center" wrapText="1"/>
    </xf>
    <xf numFmtId="0" fontId="27" fillId="0" borderId="101" xfId="0" applyFont="1" applyBorder="1" applyAlignment="1">
      <alignment vertical="center" wrapText="1"/>
    </xf>
    <xf numFmtId="0" fontId="27" fillId="0" borderId="102" xfId="0" applyFont="1" applyBorder="1" applyAlignment="1">
      <alignment vertical="center" wrapText="1"/>
    </xf>
    <xf numFmtId="9" fontId="27" fillId="0" borderId="102" xfId="0" applyNumberFormat="1" applyFont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32" borderId="102" xfId="0" applyFont="1" applyFill="1" applyBorder="1" applyAlignment="1">
      <alignment horizontal="center" vertical="center" wrapText="1"/>
    </xf>
    <xf numFmtId="9" fontId="60" fillId="0" borderId="102" xfId="0" applyNumberFormat="1" applyFont="1" applyBorder="1" applyAlignment="1">
      <alignment horizontal="center" vertical="center" wrapText="1"/>
    </xf>
    <xf numFmtId="0" fontId="27" fillId="22" borderId="0" xfId="0" applyFont="1" applyFill="1"/>
    <xf numFmtId="0" fontId="27" fillId="7" borderId="0" xfId="0" applyFont="1" applyFill="1" applyAlignment="1">
      <alignment horizontal="center" vertical="center" wrapText="1"/>
    </xf>
    <xf numFmtId="0" fontId="27" fillId="7" borderId="0" xfId="0" applyFont="1" applyFill="1"/>
    <xf numFmtId="0" fontId="27" fillId="22" borderId="0" xfId="0" applyFont="1" applyFill="1" applyAlignment="1">
      <alignment horizontal="center" vertical="center" wrapText="1"/>
    </xf>
    <xf numFmtId="9" fontId="60" fillId="0" borderId="8" xfId="0" applyNumberFormat="1" applyFont="1" applyBorder="1" applyAlignment="1">
      <alignment horizontal="center" vertical="center" wrapText="1"/>
    </xf>
    <xf numFmtId="0" fontId="27" fillId="0" borderId="45" xfId="0" applyFont="1" applyBorder="1"/>
    <xf numFmtId="0" fontId="85" fillId="0" borderId="45" xfId="0" applyFont="1" applyBorder="1"/>
    <xf numFmtId="0" fontId="27" fillId="33" borderId="45" xfId="0" applyFont="1" applyFill="1" applyBorder="1"/>
    <xf numFmtId="2" fontId="27" fillId="7" borderId="0" xfId="0" applyNumberFormat="1" applyFont="1" applyFill="1"/>
    <xf numFmtId="166" fontId="27" fillId="7" borderId="0" xfId="0" applyNumberFormat="1" applyFont="1" applyFill="1"/>
    <xf numFmtId="2" fontId="81" fillId="7" borderId="0" xfId="0" applyNumberFormat="1" applyFont="1" applyFill="1"/>
    <xf numFmtId="2" fontId="27" fillId="23" borderId="0" xfId="0" applyNumberFormat="1" applyFont="1" applyFill="1"/>
    <xf numFmtId="2" fontId="86" fillId="7" borderId="0" xfId="0" applyNumberFormat="1" applyFont="1" applyFill="1"/>
    <xf numFmtId="2" fontId="87" fillId="7" borderId="0" xfId="0" applyNumberFormat="1" applyFont="1" applyFill="1"/>
    <xf numFmtId="0" fontId="0" fillId="7" borderId="0" xfId="0" applyFill="1"/>
    <xf numFmtId="0" fontId="88" fillId="0" borderId="0" xfId="0" applyFont="1"/>
    <xf numFmtId="0" fontId="89" fillId="0" borderId="0" xfId="0" applyFont="1" applyAlignment="1">
      <alignment horizontal="left"/>
    </xf>
    <xf numFmtId="0" fontId="0" fillId="0" borderId="0" xfId="0" applyAlignment="1">
      <alignment horizontal="left"/>
    </xf>
    <xf numFmtId="0" fontId="90" fillId="34" borderId="0" xfId="11" applyFont="1" applyFill="1" applyAlignment="1">
      <alignment vertical="center"/>
    </xf>
    <xf numFmtId="0" fontId="91" fillId="34" borderId="0" xfId="12" applyFont="1" applyFill="1"/>
    <xf numFmtId="0" fontId="92" fillId="34" borderId="0" xfId="11" applyFont="1" applyFill="1" applyAlignment="1">
      <alignment horizontal="center"/>
    </xf>
    <xf numFmtId="0" fontId="93" fillId="34" borderId="0" xfId="12" applyFont="1" applyFill="1"/>
    <xf numFmtId="0" fontId="94" fillId="34" borderId="0" xfId="11" applyFont="1" applyFill="1" applyAlignment="1">
      <alignment horizontal="center"/>
    </xf>
    <xf numFmtId="0" fontId="93" fillId="34" borderId="0" xfId="12" applyFont="1" applyFill="1" applyAlignment="1">
      <alignment horizontal="center"/>
    </xf>
    <xf numFmtId="0" fontId="93" fillId="0" borderId="0" xfId="12" applyFont="1"/>
    <xf numFmtId="0" fontId="92" fillId="34" borderId="45" xfId="12" applyFont="1" applyFill="1" applyBorder="1" applyAlignment="1">
      <alignment horizontal="center" vertical="center"/>
    </xf>
    <xf numFmtId="0" fontId="92" fillId="34" borderId="45" xfId="12" applyFont="1" applyFill="1" applyBorder="1" applyAlignment="1">
      <alignment horizontal="center" vertical="center" wrapText="1"/>
    </xf>
    <xf numFmtId="0" fontId="90" fillId="34" borderId="45" xfId="12" applyFont="1" applyFill="1" applyBorder="1" applyAlignment="1">
      <alignment horizontal="center" vertical="center" wrapText="1"/>
    </xf>
    <xf numFmtId="0" fontId="96" fillId="0" borderId="45" xfId="11" applyFont="1" applyBorder="1" applyAlignment="1">
      <alignment horizontal="center" vertical="center" wrapText="1"/>
    </xf>
    <xf numFmtId="0" fontId="95" fillId="19" borderId="45" xfId="11" applyFont="1" applyFill="1" applyBorder="1" applyAlignment="1">
      <alignment horizontal="center" vertical="center" textRotation="255" wrapText="1"/>
    </xf>
    <xf numFmtId="0" fontId="97" fillId="23" borderId="45" xfId="11" applyFont="1" applyFill="1" applyBorder="1" applyAlignment="1">
      <alignment horizontal="center" vertical="center" wrapText="1"/>
    </xf>
    <xf numFmtId="0" fontId="93" fillId="19" borderId="45" xfId="11" applyFont="1" applyFill="1" applyBorder="1" applyAlignment="1">
      <alignment horizontal="center" vertical="center" wrapText="1"/>
    </xf>
    <xf numFmtId="0" fontId="99" fillId="23" borderId="45" xfId="11" applyFont="1" applyFill="1" applyBorder="1" applyAlignment="1">
      <alignment horizontal="center" vertical="center" wrapText="1"/>
    </xf>
    <xf numFmtId="0" fontId="22" fillId="9" borderId="45" xfId="11" applyFont="1" applyFill="1" applyBorder="1" applyAlignment="1">
      <alignment horizontal="center" vertical="center" wrapText="1"/>
    </xf>
    <xf numFmtId="0" fontId="100" fillId="19" borderId="45" xfId="11" applyFont="1" applyFill="1" applyBorder="1" applyAlignment="1">
      <alignment horizontal="center" vertical="center" wrapText="1"/>
    </xf>
    <xf numFmtId="0" fontId="97" fillId="9" borderId="45" xfId="11" applyFont="1" applyFill="1" applyBorder="1" applyAlignment="1">
      <alignment horizontal="center" vertical="center" wrapText="1"/>
    </xf>
    <xf numFmtId="0" fontId="22" fillId="19" borderId="45" xfId="11" applyFont="1" applyFill="1" applyBorder="1" applyAlignment="1">
      <alignment horizontal="center" vertical="center" wrapText="1"/>
    </xf>
    <xf numFmtId="0" fontId="6" fillId="19" borderId="45" xfId="11" applyFont="1" applyFill="1" applyBorder="1" applyAlignment="1">
      <alignment horizontal="center" vertical="center" wrapText="1"/>
    </xf>
    <xf numFmtId="0" fontId="6" fillId="7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100" fillId="9" borderId="45" xfId="11" applyFont="1" applyFill="1" applyBorder="1" applyAlignment="1">
      <alignment horizontal="center" vertical="center" wrapText="1"/>
    </xf>
    <xf numFmtId="0" fontId="93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25" fillId="19" borderId="45" xfId="11" applyFont="1" applyFill="1" applyBorder="1" applyAlignment="1">
      <alignment horizontal="center" vertical="center" wrapText="1"/>
    </xf>
    <xf numFmtId="0" fontId="90" fillId="19" borderId="45" xfId="11" applyFont="1" applyFill="1" applyBorder="1" applyAlignment="1">
      <alignment horizontal="center" vertical="center" wrapText="1"/>
    </xf>
    <xf numFmtId="0" fontId="53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93" fillId="0" borderId="0" xfId="11" applyFont="1" applyAlignment="1">
      <alignment horizontal="center" vertical="center" wrapText="1"/>
    </xf>
    <xf numFmtId="0" fontId="94" fillId="19" borderId="0" xfId="11" applyFont="1" applyFill="1" applyAlignment="1">
      <alignment horizontal="center" vertical="center" textRotation="255" wrapText="1"/>
    </xf>
    <xf numFmtId="0" fontId="93" fillId="19" borderId="0" xfId="11" applyFont="1" applyFill="1" applyAlignment="1">
      <alignment horizontal="center" vertical="center" wrapText="1"/>
    </xf>
    <xf numFmtId="0" fontId="6" fillId="19" borderId="0" xfId="11" applyFont="1" applyFill="1" applyAlignment="1">
      <alignment horizontal="center" vertical="center" wrapText="1"/>
    </xf>
    <xf numFmtId="0" fontId="91" fillId="34" borderId="0" xfId="11" applyFont="1" applyFill="1"/>
    <xf numFmtId="0" fontId="104" fillId="34" borderId="0" xfId="11" applyFont="1" applyFill="1"/>
    <xf numFmtId="0" fontId="92" fillId="34" borderId="0" xfId="11" applyFont="1" applyFill="1"/>
    <xf numFmtId="0" fontId="105" fillId="34" borderId="0" xfId="11" applyFont="1" applyFill="1"/>
    <xf numFmtId="0" fontId="25" fillId="34" borderId="0" xfId="11" applyFont="1" applyFill="1"/>
    <xf numFmtId="0" fontId="106" fillId="34" borderId="0" xfId="11" applyFont="1" applyFill="1"/>
    <xf numFmtId="0" fontId="93" fillId="34" borderId="0" xfId="11" applyFont="1" applyFill="1" applyAlignment="1">
      <alignment vertical="center"/>
    </xf>
    <xf numFmtId="0" fontId="94" fillId="34" borderId="0" xfId="11" applyFont="1" applyFill="1"/>
    <xf numFmtId="0" fontId="107" fillId="4" borderId="106" xfId="11" applyFont="1" applyFill="1" applyBorder="1" applyAlignment="1">
      <alignment horizontal="center" vertical="center" wrapText="1"/>
    </xf>
    <xf numFmtId="1" fontId="108" fillId="0" borderId="29" xfId="11" applyNumberFormat="1" applyFont="1" applyBorder="1" applyAlignment="1">
      <alignment horizontal="center"/>
    </xf>
    <xf numFmtId="1" fontId="108" fillId="0" borderId="32" xfId="11" applyNumberFormat="1" applyFont="1" applyBorder="1" applyAlignment="1">
      <alignment horizontal="center"/>
    </xf>
    <xf numFmtId="0" fontId="107" fillId="0" borderId="9" xfId="11" applyFont="1" applyBorder="1" applyAlignment="1">
      <alignment horizontal="center" vertical="center" wrapText="1"/>
    </xf>
    <xf numFmtId="0" fontId="28" fillId="10" borderId="45" xfId="0" applyFont="1" applyFill="1" applyBorder="1" applyAlignment="1">
      <alignment vertical="center"/>
    </xf>
    <xf numFmtId="165" fontId="32" fillId="11" borderId="45" xfId="1" applyNumberFormat="1" applyFont="1" applyFill="1" applyBorder="1" applyAlignment="1">
      <alignment horizontal="center" vertical="center"/>
    </xf>
    <xf numFmtId="165" fontId="33" fillId="11" borderId="45" xfId="1" applyNumberFormat="1" applyFont="1" applyFill="1" applyBorder="1" applyAlignment="1">
      <alignment horizontal="center" vertical="center"/>
    </xf>
    <xf numFmtId="1" fontId="33" fillId="11" borderId="45" xfId="2" applyNumberFormat="1" applyFont="1" applyFill="1" applyBorder="1" applyAlignment="1">
      <alignment horizontal="center" vertical="center"/>
    </xf>
    <xf numFmtId="3" fontId="20" fillId="4" borderId="17" xfId="3" applyNumberFormat="1" applyFont="1" applyFill="1" applyBorder="1" applyAlignment="1" applyProtection="1">
      <alignment horizontal="center"/>
    </xf>
    <xf numFmtId="0" fontId="18" fillId="3" borderId="26" xfId="2" applyFont="1" applyFill="1" applyBorder="1"/>
    <xf numFmtId="0" fontId="18" fillId="3" borderId="29" xfId="2" applyFont="1" applyFill="1" applyBorder="1"/>
    <xf numFmtId="0" fontId="18" fillId="3" borderId="35" xfId="2" applyFont="1" applyFill="1" applyBorder="1"/>
    <xf numFmtId="1" fontId="61" fillId="0" borderId="0" xfId="5" applyNumberFormat="1" applyFont="1"/>
    <xf numFmtId="0" fontId="61" fillId="7" borderId="45" xfId="5" applyFont="1" applyFill="1" applyBorder="1" applyAlignment="1">
      <alignment horizontal="center"/>
    </xf>
    <xf numFmtId="1" fontId="27" fillId="0" borderId="0" xfId="0" applyNumberFormat="1" applyFont="1"/>
    <xf numFmtId="1" fontId="64" fillId="0" borderId="0" xfId="5" applyNumberFormat="1" applyFont="1"/>
    <xf numFmtId="0" fontId="15" fillId="7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16" fillId="4" borderId="42" xfId="2" applyFont="1" applyFill="1" applyBorder="1" applyAlignment="1">
      <alignment horizontal="center" vertical="center" wrapText="1"/>
    </xf>
    <xf numFmtId="10" fontId="4" fillId="3" borderId="0" xfId="2" applyNumberFormat="1" applyFill="1" applyAlignment="1">
      <alignment horizontal="center" vertical="center" wrapText="1"/>
    </xf>
    <xf numFmtId="0" fontId="14" fillId="6" borderId="5" xfId="2" applyFont="1" applyFill="1" applyBorder="1" applyAlignment="1">
      <alignment horizontal="center" vertical="center" wrapText="1"/>
    </xf>
    <xf numFmtId="9" fontId="17" fillId="5" borderId="1" xfId="2" applyNumberFormat="1" applyFont="1" applyFill="1" applyBorder="1" applyAlignment="1">
      <alignment horizontal="center" vertical="center" wrapText="1"/>
    </xf>
    <xf numFmtId="0" fontId="14" fillId="6" borderId="42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38" fillId="15" borderId="55" xfId="2" applyFont="1" applyFill="1" applyBorder="1" applyAlignment="1">
      <alignment horizontal="center" vertical="center" wrapText="1"/>
    </xf>
    <xf numFmtId="0" fontId="38" fillId="15" borderId="56" xfId="2" applyFont="1" applyFill="1" applyBorder="1" applyAlignment="1">
      <alignment horizontal="center" vertical="center" wrapText="1"/>
    </xf>
    <xf numFmtId="0" fontId="38" fillId="15" borderId="0" xfId="2" applyFont="1" applyFill="1" applyAlignment="1">
      <alignment horizontal="center" vertical="center" wrapText="1"/>
    </xf>
    <xf numFmtId="0" fontId="39" fillId="0" borderId="0" xfId="2" applyFont="1"/>
    <xf numFmtId="0" fontId="107" fillId="4" borderId="107" xfId="11" applyFont="1" applyFill="1" applyBorder="1" applyAlignment="1">
      <alignment horizontal="center" vertical="center" wrapText="1"/>
    </xf>
    <xf numFmtId="0" fontId="107" fillId="0" borderId="44" xfId="11" applyFont="1" applyBorder="1" applyAlignment="1">
      <alignment horizontal="center" vertical="center" wrapText="1"/>
    </xf>
    <xf numFmtId="0" fontId="15" fillId="7" borderId="1" xfId="6" applyFont="1" applyFill="1" applyBorder="1" applyAlignment="1">
      <alignment horizontal="center" vertical="center" wrapText="1"/>
    </xf>
    <xf numFmtId="0" fontId="16" fillId="4" borderId="1" xfId="7" applyFont="1" applyFill="1" applyBorder="1" applyAlignment="1">
      <alignment horizontal="center" vertical="center" wrapText="1"/>
    </xf>
    <xf numFmtId="0" fontId="16" fillId="4" borderId="42" xfId="7" applyFont="1" applyFill="1" applyBorder="1" applyAlignment="1">
      <alignment horizontal="center" vertical="center" wrapText="1"/>
    </xf>
    <xf numFmtId="10" fontId="19" fillId="3" borderId="0" xfId="6" applyNumberFormat="1" applyFill="1" applyAlignment="1">
      <alignment horizontal="center" vertical="center" wrapText="1"/>
    </xf>
    <xf numFmtId="9" fontId="17" fillId="5" borderId="1" xfId="6" applyNumberFormat="1" applyFont="1" applyFill="1" applyBorder="1" applyAlignment="1">
      <alignment horizontal="center" vertical="center" wrapText="1"/>
    </xf>
    <xf numFmtId="0" fontId="14" fillId="6" borderId="5" xfId="6" applyFont="1" applyFill="1" applyBorder="1" applyAlignment="1">
      <alignment horizontal="center" vertical="center" wrapText="1"/>
    </xf>
    <xf numFmtId="1" fontId="47" fillId="0" borderId="55" xfId="6" applyNumberFormat="1" applyFont="1" applyBorder="1" applyAlignment="1">
      <alignment horizontal="center" vertical="center" wrapText="1"/>
    </xf>
    <xf numFmtId="1" fontId="47" fillId="0" borderId="56" xfId="6" applyNumberFormat="1" applyFont="1" applyBorder="1" applyAlignment="1">
      <alignment horizontal="center" vertical="center" wrapText="1"/>
    </xf>
    <xf numFmtId="1" fontId="16" fillId="3" borderId="0" xfId="7" applyNumberFormat="1" applyFont="1" applyFill="1" applyAlignment="1">
      <alignment horizontal="center" vertical="center" wrapText="1"/>
    </xf>
    <xf numFmtId="0" fontId="19" fillId="18" borderId="0" xfId="6" applyFill="1" applyAlignment="1">
      <alignment horizontal="center" vertical="center" wrapText="1"/>
    </xf>
    <xf numFmtId="0" fontId="19" fillId="0" borderId="0" xfId="6" applyAlignment="1">
      <alignment horizontal="center" vertical="center" wrapText="1"/>
    </xf>
    <xf numFmtId="3" fontId="20" fillId="4" borderId="21" xfId="3" applyNumberFormat="1" applyFont="1" applyFill="1" applyBorder="1" applyAlignment="1" applyProtection="1"/>
    <xf numFmtId="0" fontId="107" fillId="4" borderId="10" xfId="11" applyFont="1" applyFill="1" applyBorder="1" applyAlignment="1">
      <alignment horizontal="center" vertical="center" wrapText="1"/>
    </xf>
    <xf numFmtId="0" fontId="107" fillId="4" borderId="110" xfId="11" applyFont="1" applyFill="1" applyBorder="1" applyAlignment="1">
      <alignment horizontal="center" vertical="center" wrapText="1"/>
    </xf>
    <xf numFmtId="0" fontId="107" fillId="4" borderId="111" xfId="11" applyFont="1" applyFill="1" applyBorder="1" applyAlignment="1">
      <alignment horizontal="center" vertical="center" wrapText="1"/>
    </xf>
    <xf numFmtId="0" fontId="61" fillId="7" borderId="77" xfId="5" applyFont="1" applyFill="1" applyBorder="1" applyAlignment="1">
      <alignment horizontal="center"/>
    </xf>
    <xf numFmtId="0" fontId="61" fillId="7" borderId="79" xfId="5" applyFont="1" applyFill="1" applyBorder="1"/>
    <xf numFmtId="0" fontId="61" fillId="7" borderId="45" xfId="0" applyFont="1" applyFill="1" applyBorder="1"/>
    <xf numFmtId="0" fontId="61" fillId="7" borderId="0" xfId="5" applyFont="1" applyFill="1"/>
    <xf numFmtId="0" fontId="69" fillId="7" borderId="0" xfId="5" applyFont="1" applyFill="1"/>
    <xf numFmtId="0" fontId="73" fillId="7" borderId="0" xfId="5" applyFont="1" applyFill="1"/>
    <xf numFmtId="3" fontId="20" fillId="34" borderId="17" xfId="3" applyNumberFormat="1" applyFont="1" applyFill="1" applyBorder="1" applyProtection="1"/>
    <xf numFmtId="0" fontId="14" fillId="6" borderId="12" xfId="2" applyFont="1" applyFill="1" applyBorder="1" applyAlignment="1">
      <alignment horizontal="center" vertical="center" wrapText="1"/>
    </xf>
    <xf numFmtId="0" fontId="107" fillId="0" borderId="42" xfId="11" applyFont="1" applyBorder="1" applyAlignment="1">
      <alignment horizontal="center" vertical="center" wrapText="1"/>
    </xf>
    <xf numFmtId="3" fontId="20" fillId="0" borderId="26" xfId="4" applyNumberFormat="1" applyFont="1" applyFill="1" applyBorder="1" applyProtection="1">
      <protection locked="0"/>
    </xf>
    <xf numFmtId="3" fontId="20" fillId="0" borderId="29" xfId="4" applyNumberFormat="1" applyFont="1" applyFill="1" applyBorder="1" applyProtection="1">
      <protection locked="0"/>
    </xf>
    <xf numFmtId="10" fontId="20" fillId="3" borderId="11" xfId="4" applyNumberFormat="1" applyFont="1" applyFill="1" applyBorder="1" applyProtection="1">
      <protection locked="0"/>
    </xf>
    <xf numFmtId="3" fontId="20" fillId="0" borderId="21" xfId="3" applyNumberFormat="1" applyFont="1" applyFill="1" applyBorder="1" applyProtection="1"/>
    <xf numFmtId="3" fontId="20" fillId="0" borderId="17" xfId="3" applyNumberFormat="1" applyFont="1" applyFill="1" applyBorder="1" applyProtection="1"/>
    <xf numFmtId="0" fontId="4" fillId="0" borderId="10" xfId="2" applyBorder="1"/>
    <xf numFmtId="10" fontId="4" fillId="3" borderId="11" xfId="2" applyNumberFormat="1" applyFill="1" applyBorder="1" applyAlignment="1">
      <alignment horizontal="center" vertical="center" wrapText="1"/>
    </xf>
    <xf numFmtId="9" fontId="17" fillId="5" borderId="10" xfId="2" applyNumberFormat="1" applyFont="1" applyFill="1" applyBorder="1" applyAlignment="1">
      <alignment horizontal="center" vertical="center" wrapText="1"/>
    </xf>
    <xf numFmtId="3" fontId="20" fillId="0" borderId="15" xfId="3" applyNumberFormat="1" applyFont="1" applyFill="1" applyBorder="1" applyProtection="1"/>
    <xf numFmtId="0" fontId="15" fillId="12" borderId="45" xfId="0" applyFont="1" applyFill="1" applyBorder="1" applyAlignment="1">
      <alignment horizontal="center" vertical="top" wrapText="1"/>
    </xf>
    <xf numFmtId="3" fontId="5" fillId="13" borderId="56" xfId="2" applyNumberFormat="1" applyFont="1" applyFill="1" applyBorder="1" applyAlignment="1">
      <alignment horizontal="center"/>
    </xf>
    <xf numFmtId="1" fontId="5" fillId="13" borderId="56" xfId="2" applyNumberFormat="1" applyFont="1" applyFill="1" applyBorder="1" applyAlignment="1">
      <alignment horizontal="center"/>
    </xf>
    <xf numFmtId="0" fontId="14" fillId="6" borderId="0" xfId="2" applyFont="1" applyFill="1" applyAlignment="1">
      <alignment horizontal="center" vertical="center" wrapText="1"/>
    </xf>
    <xf numFmtId="10" fontId="32" fillId="11" borderId="46" xfId="1" applyNumberFormat="1" applyFont="1" applyFill="1" applyBorder="1" applyAlignment="1">
      <alignment horizontal="center"/>
    </xf>
    <xf numFmtId="10" fontId="32" fillId="11" borderId="46" xfId="1" applyNumberFormat="1" applyFont="1" applyFill="1" applyBorder="1" applyAlignment="1">
      <alignment horizontal="center" vertical="center" wrapText="1"/>
    </xf>
    <xf numFmtId="165" fontId="33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7" fillId="5" borderId="9" xfId="2" applyNumberFormat="1" applyFont="1" applyFill="1" applyBorder="1" applyAlignment="1">
      <alignment horizontal="center" vertical="center" wrapText="1"/>
    </xf>
    <xf numFmtId="166" fontId="30" fillId="11" borderId="58" xfId="2" applyNumberFormat="1" applyFont="1" applyFill="1" applyBorder="1" applyAlignment="1">
      <alignment horizontal="center" vertical="center" wrapText="1"/>
    </xf>
    <xf numFmtId="10" fontId="32" fillId="11" borderId="60" xfId="1" applyNumberFormat="1" applyFont="1" applyFill="1" applyBorder="1" applyAlignment="1">
      <alignment horizontal="center" vertical="center" wrapText="1"/>
    </xf>
    <xf numFmtId="0" fontId="31" fillId="11" borderId="67" xfId="2" applyFont="1" applyFill="1" applyBorder="1" applyAlignment="1">
      <alignment horizontal="center" vertical="center" wrapText="1"/>
    </xf>
    <xf numFmtId="165" fontId="33" fillId="11" borderId="76" xfId="1" applyNumberFormat="1" applyFont="1" applyFill="1" applyBorder="1" applyAlignment="1">
      <alignment horizontal="center" vertical="center" wrapText="1"/>
    </xf>
    <xf numFmtId="166" fontId="30" fillId="13" borderId="45" xfId="2" applyNumberFormat="1" applyFont="1" applyFill="1" applyBorder="1" applyAlignment="1">
      <alignment horizontal="center" vertical="center" wrapText="1"/>
    </xf>
    <xf numFmtId="3" fontId="5" fillId="13" borderId="45" xfId="2" applyNumberFormat="1" applyFont="1" applyFill="1" applyBorder="1" applyAlignment="1">
      <alignment horizontal="center"/>
    </xf>
    <xf numFmtId="1" fontId="5" fillId="13" borderId="45" xfId="2" applyNumberFormat="1" applyFont="1" applyFill="1" applyBorder="1" applyAlignment="1">
      <alignment horizontal="center"/>
    </xf>
    <xf numFmtId="3" fontId="20" fillId="4" borderId="27" xfId="3" applyNumberFormat="1" applyFont="1" applyFill="1" applyBorder="1" applyProtection="1"/>
    <xf numFmtId="3" fontId="20" fillId="4" borderId="30" xfId="3" applyNumberFormat="1" applyFont="1" applyFill="1" applyBorder="1" applyProtection="1"/>
    <xf numFmtId="0" fontId="107" fillId="0" borderId="43" xfId="11" applyFont="1" applyBorder="1" applyAlignment="1">
      <alignment horizontal="center" vertical="center" wrapText="1"/>
    </xf>
    <xf numFmtId="3" fontId="20" fillId="0" borderId="42" xfId="3" applyNumberFormat="1" applyFont="1" applyFill="1" applyBorder="1" applyProtection="1"/>
    <xf numFmtId="3" fontId="20" fillId="0" borderId="43" xfId="3" applyNumberFormat="1" applyFont="1" applyFill="1" applyBorder="1" applyProtection="1"/>
    <xf numFmtId="10" fontId="20" fillId="3" borderId="42" xfId="4" applyNumberFormat="1" applyFont="1" applyFill="1" applyBorder="1" applyProtection="1">
      <protection locked="0"/>
    </xf>
    <xf numFmtId="10" fontId="20" fillId="3" borderId="43" xfId="4" applyNumberFormat="1" applyFont="1" applyFill="1" applyBorder="1" applyProtection="1">
      <protection locked="0"/>
    </xf>
    <xf numFmtId="10" fontId="20" fillId="3" borderId="44" xfId="4" applyNumberFormat="1" applyFont="1" applyFill="1" applyBorder="1" applyProtection="1">
      <protection locked="0"/>
    </xf>
    <xf numFmtId="10" fontId="20" fillId="5" borderId="14" xfId="4" applyNumberFormat="1" applyFont="1" applyFill="1" applyBorder="1" applyProtection="1">
      <protection locked="0"/>
    </xf>
    <xf numFmtId="165" fontId="21" fillId="6" borderId="12" xfId="3" applyNumberFormat="1" applyFont="1" applyFill="1" applyBorder="1" applyAlignment="1">
      <alignment horizontal="right"/>
    </xf>
    <xf numFmtId="10" fontId="21" fillId="6" borderId="9" xfId="2" applyNumberFormat="1" applyFont="1" applyFill="1" applyBorder="1"/>
    <xf numFmtId="0" fontId="107" fillId="4" borderId="112" xfId="11" applyFont="1" applyFill="1" applyBorder="1" applyAlignment="1">
      <alignment horizontal="center" vertical="center" wrapText="1"/>
    </xf>
    <xf numFmtId="10" fontId="19" fillId="3" borderId="2" xfId="6" applyNumberFormat="1" applyFill="1" applyBorder="1" applyAlignment="1">
      <alignment horizontal="center" vertical="center" wrapText="1"/>
    </xf>
    <xf numFmtId="0" fontId="14" fillId="6" borderId="3" xfId="6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horizontal="center" vertical="center" wrapText="1"/>
    </xf>
    <xf numFmtId="3" fontId="20" fillId="4" borderId="29" xfId="4" applyNumberFormat="1" applyFont="1" applyFill="1" applyBorder="1" applyAlignment="1" applyProtection="1">
      <alignment horizontal="center"/>
      <protection locked="0"/>
    </xf>
    <xf numFmtId="3" fontId="20" fillId="4" borderId="35" xfId="4" applyNumberFormat="1" applyFont="1" applyFill="1" applyBorder="1" applyAlignment="1" applyProtection="1">
      <alignment horizontal="center"/>
      <protection locked="0"/>
    </xf>
    <xf numFmtId="3" fontId="20" fillId="4" borderId="26" xfId="4" applyNumberFormat="1" applyFont="1" applyFill="1" applyBorder="1" applyAlignment="1" applyProtection="1">
      <alignment horizontal="center"/>
      <protection locked="0"/>
    </xf>
    <xf numFmtId="10" fontId="20" fillId="5" borderId="28" xfId="4" applyNumberFormat="1" applyFont="1" applyFill="1" applyBorder="1" applyProtection="1">
      <protection locked="0"/>
    </xf>
    <xf numFmtId="10" fontId="20" fillId="5" borderId="31" xfId="4" applyNumberFormat="1" applyFont="1" applyFill="1" applyBorder="1" applyProtection="1">
      <protection locked="0"/>
    </xf>
    <xf numFmtId="10" fontId="20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0" fillId="0" borderId="42" xfId="7" applyNumberFormat="1" applyFont="1" applyBorder="1" applyAlignment="1">
      <alignment horizontal="right" vertical="center" wrapText="1"/>
    </xf>
    <xf numFmtId="3" fontId="40" fillId="0" borderId="26" xfId="7" applyNumberFormat="1" applyFont="1" applyBorder="1" applyAlignment="1">
      <alignment horizontal="right" vertical="center" wrapText="1"/>
    </xf>
    <xf numFmtId="3" fontId="20" fillId="0" borderId="32" xfId="3" applyNumberFormat="1" applyFont="1" applyFill="1" applyBorder="1" applyProtection="1"/>
    <xf numFmtId="3" fontId="20" fillId="0" borderId="29" xfId="3" applyNumberFormat="1" applyFont="1" applyFill="1" applyBorder="1" applyProtection="1"/>
    <xf numFmtId="168" fontId="20" fillId="3" borderId="42" xfId="4" applyNumberFormat="1" applyFont="1" applyFill="1" applyBorder="1" applyProtection="1">
      <protection locked="0"/>
    </xf>
    <xf numFmtId="168" fontId="20" fillId="3" borderId="43" xfId="4" applyNumberFormat="1" applyFont="1" applyFill="1" applyBorder="1" applyProtection="1">
      <protection locked="0"/>
    </xf>
    <xf numFmtId="1" fontId="20" fillId="0" borderId="15" xfId="3" applyNumberFormat="1" applyFont="1" applyFill="1" applyBorder="1" applyProtection="1"/>
    <xf numFmtId="1" fontId="20" fillId="0" borderId="17" xfId="3" applyNumberFormat="1" applyFont="1" applyFill="1" applyBorder="1" applyProtection="1"/>
    <xf numFmtId="166" fontId="111" fillId="13" borderId="46" xfId="2" applyNumberFormat="1" applyFont="1" applyFill="1" applyBorder="1" applyAlignment="1">
      <alignment horizontal="center" vertical="center" wrapText="1"/>
    </xf>
    <xf numFmtId="166" fontId="112" fillId="11" borderId="46" xfId="2" applyNumberFormat="1" applyFont="1" applyFill="1" applyBorder="1" applyAlignment="1">
      <alignment horizontal="center" vertical="center" wrapText="1"/>
    </xf>
    <xf numFmtId="166" fontId="112" fillId="13" borderId="46" xfId="2" applyNumberFormat="1" applyFont="1" applyFill="1" applyBorder="1" applyAlignment="1">
      <alignment horizontal="center" vertical="center" wrapText="1"/>
    </xf>
    <xf numFmtId="0" fontId="113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0" fillId="0" borderId="0" xfId="13"/>
    <xf numFmtId="0" fontId="18" fillId="7" borderId="23" xfId="2" applyFont="1" applyFill="1" applyBorder="1"/>
    <xf numFmtId="0" fontId="4" fillId="7" borderId="4" xfId="2" applyFill="1" applyBorder="1"/>
    <xf numFmtId="3" fontId="20" fillId="4" borderId="9" xfId="4" applyNumberFormat="1" applyFont="1" applyFill="1" applyBorder="1" applyProtection="1">
      <protection locked="0"/>
    </xf>
    <xf numFmtId="10" fontId="20" fillId="5" borderId="10" xfId="2" applyNumberFormat="1" applyFont="1" applyFill="1" applyBorder="1"/>
    <xf numFmtId="0" fontId="18" fillId="7" borderId="10" xfId="2" applyFont="1" applyFill="1" applyBorder="1"/>
    <xf numFmtId="10" fontId="32" fillId="11" borderId="48" xfId="1" applyNumberFormat="1" applyFont="1" applyFill="1" applyBorder="1" applyAlignment="1">
      <alignment horizontal="center"/>
    </xf>
    <xf numFmtId="10" fontId="32" fillId="11" borderId="48" xfId="1" applyNumberFormat="1" applyFont="1" applyFill="1" applyBorder="1" applyAlignment="1">
      <alignment horizontal="center" vertical="center" wrapText="1"/>
    </xf>
    <xf numFmtId="165" fontId="33" fillId="11" borderId="48" xfId="1" applyNumberFormat="1" applyFont="1" applyFill="1" applyBorder="1" applyAlignment="1">
      <alignment horizontal="center" vertical="center" wrapText="1"/>
    </xf>
    <xf numFmtId="10" fontId="32" fillId="11" borderId="98" xfId="1" applyNumberFormat="1" applyFont="1" applyFill="1" applyBorder="1" applyAlignment="1">
      <alignment horizontal="center"/>
    </xf>
    <xf numFmtId="10" fontId="32" fillId="11" borderId="98" xfId="1" applyNumberFormat="1" applyFont="1" applyFill="1" applyBorder="1" applyAlignment="1">
      <alignment horizontal="center" vertical="center" wrapText="1"/>
    </xf>
    <xf numFmtId="3" fontId="5" fillId="13" borderId="11" xfId="2" applyNumberFormat="1" applyFont="1" applyFill="1" applyBorder="1" applyAlignment="1">
      <alignment horizontal="center"/>
    </xf>
    <xf numFmtId="1" fontId="5" fillId="13" borderId="11" xfId="2" applyNumberFormat="1" applyFont="1" applyFill="1" applyBorder="1" applyAlignment="1">
      <alignment horizontal="center"/>
    </xf>
    <xf numFmtId="165" fontId="33" fillId="11" borderId="98" xfId="1" applyNumberFormat="1" applyFont="1" applyFill="1" applyBorder="1" applyAlignment="1">
      <alignment horizontal="center" vertical="center" wrapText="1"/>
    </xf>
    <xf numFmtId="1" fontId="20" fillId="0" borderId="26" xfId="3" applyNumberFormat="1" applyFont="1" applyFill="1" applyBorder="1" applyProtection="1"/>
    <xf numFmtId="1" fontId="20" fillId="0" borderId="29" xfId="3" applyNumberFormat="1" applyFont="1" applyFill="1" applyBorder="1" applyProtection="1"/>
    <xf numFmtId="1" fontId="20" fillId="0" borderId="25" xfId="3" applyNumberFormat="1" applyFont="1" applyFill="1" applyBorder="1" applyProtection="1"/>
    <xf numFmtId="1" fontId="20" fillId="0" borderId="38" xfId="3" applyNumberFormat="1" applyFont="1" applyFill="1" applyBorder="1" applyProtection="1"/>
    <xf numFmtId="1" fontId="20" fillId="0" borderId="10" xfId="3" applyNumberFormat="1" applyFont="1" applyFill="1" applyBorder="1" applyProtection="1"/>
    <xf numFmtId="1" fontId="20" fillId="0" borderId="9" xfId="3" applyNumberFormat="1" applyFont="1" applyFill="1" applyBorder="1" applyProtection="1"/>
    <xf numFmtId="3" fontId="20" fillId="0" borderId="38" xfId="3" applyNumberFormat="1" applyFont="1" applyFill="1" applyBorder="1" applyProtection="1"/>
    <xf numFmtId="2" fontId="32" fillId="11" borderId="48" xfId="2" applyNumberFormat="1" applyFont="1" applyFill="1" applyBorder="1" applyAlignment="1">
      <alignment horizontal="center"/>
    </xf>
    <xf numFmtId="165" fontId="32" fillId="11" borderId="48" xfId="1" applyNumberFormat="1" applyFont="1" applyFill="1" applyBorder="1" applyAlignment="1">
      <alignment horizontal="center" vertical="center" wrapText="1"/>
    </xf>
    <xf numFmtId="0" fontId="18" fillId="7" borderId="10" xfId="6" applyFont="1" applyFill="1" applyBorder="1"/>
    <xf numFmtId="3" fontId="20" fillId="0" borderId="9" xfId="3" applyNumberFormat="1" applyFont="1" applyFill="1" applyBorder="1" applyProtection="1"/>
    <xf numFmtId="3" fontId="20" fillId="4" borderId="11" xfId="4" applyNumberFormat="1" applyFont="1" applyFill="1" applyBorder="1" applyAlignment="1" applyProtection="1">
      <alignment horizontal="center"/>
      <protection locked="0"/>
    </xf>
    <xf numFmtId="2" fontId="20" fillId="5" borderId="14" xfId="4" applyNumberFormat="1" applyFont="1" applyFill="1" applyBorder="1" applyProtection="1">
      <protection locked="0"/>
    </xf>
    <xf numFmtId="2" fontId="32" fillId="11" borderId="98" xfId="2" applyNumberFormat="1" applyFont="1" applyFill="1" applyBorder="1" applyAlignment="1">
      <alignment horizontal="center"/>
    </xf>
    <xf numFmtId="165" fontId="32" fillId="11" borderId="98" xfId="1" applyNumberFormat="1" applyFont="1" applyFill="1" applyBorder="1" applyAlignment="1">
      <alignment horizontal="center" vertical="center" wrapText="1"/>
    </xf>
    <xf numFmtId="3" fontId="40" fillId="4" borderId="15" xfId="7" applyNumberFormat="1" applyFont="1" applyFill="1" applyBorder="1" applyAlignment="1">
      <alignment horizontal="center" vertical="center" wrapText="1"/>
    </xf>
    <xf numFmtId="3" fontId="20" fillId="4" borderId="21" xfId="3" applyNumberFormat="1" applyFont="1" applyFill="1" applyBorder="1" applyAlignment="1" applyProtection="1">
      <alignment horizontal="center"/>
    </xf>
    <xf numFmtId="3" fontId="20" fillId="4" borderId="25" xfId="3" applyNumberFormat="1" applyFont="1" applyFill="1" applyBorder="1" applyAlignment="1" applyProtection="1">
      <alignment horizontal="center"/>
    </xf>
    <xf numFmtId="1" fontId="20" fillId="0" borderId="1" xfId="3" applyNumberFormat="1" applyFont="1" applyFill="1" applyBorder="1" applyProtection="1"/>
    <xf numFmtId="10" fontId="32" fillId="11" borderId="13" xfId="1" applyNumberFormat="1" applyFont="1" applyFill="1" applyBorder="1" applyAlignment="1">
      <alignment horizontal="center"/>
    </xf>
    <xf numFmtId="0" fontId="15" fillId="12" borderId="60" xfId="0" applyFont="1" applyFill="1" applyBorder="1" applyAlignment="1">
      <alignment horizontal="center" vertical="center" wrapText="1"/>
    </xf>
    <xf numFmtId="10" fontId="32" fillId="11" borderId="50" xfId="1" applyNumberFormat="1" applyFont="1" applyFill="1" applyBorder="1" applyAlignment="1">
      <alignment horizontal="center" vertical="center" wrapText="1"/>
    </xf>
    <xf numFmtId="10" fontId="32" fillId="11" borderId="114" xfId="1" applyNumberFormat="1" applyFont="1" applyFill="1" applyBorder="1" applyAlignment="1">
      <alignment horizontal="center" vertical="center" wrapText="1"/>
    </xf>
    <xf numFmtId="0" fontId="15" fillId="12" borderId="76" xfId="0" applyFont="1" applyFill="1" applyBorder="1" applyAlignment="1">
      <alignment horizontal="center" vertical="center" wrapText="1"/>
    </xf>
    <xf numFmtId="165" fontId="33" fillId="11" borderId="51" xfId="1" applyNumberFormat="1" applyFont="1" applyFill="1" applyBorder="1" applyAlignment="1">
      <alignment horizontal="center" vertical="center" wrapText="1"/>
    </xf>
    <xf numFmtId="165" fontId="33" fillId="11" borderId="115" xfId="1" applyNumberFormat="1" applyFont="1" applyFill="1" applyBorder="1" applyAlignment="1">
      <alignment horizontal="center" vertical="center" wrapText="1"/>
    </xf>
    <xf numFmtId="165" fontId="21" fillId="3" borderId="11" xfId="4" applyNumberFormat="1" applyFont="1" applyFill="1" applyBorder="1" applyProtection="1">
      <protection locked="0"/>
    </xf>
    <xf numFmtId="1" fontId="108" fillId="0" borderId="38" xfId="11" applyNumberFormat="1" applyFont="1" applyBorder="1" applyAlignment="1">
      <alignment horizontal="center"/>
    </xf>
    <xf numFmtId="2" fontId="22" fillId="8" borderId="38" xfId="2" applyNumberFormat="1" applyFont="1" applyFill="1" applyBorder="1"/>
    <xf numFmtId="2" fontId="4" fillId="9" borderId="38" xfId="2" applyNumberFormat="1" applyFill="1" applyBorder="1"/>
    <xf numFmtId="165" fontId="32" fillId="11" borderId="48" xfId="1" applyNumberFormat="1" applyFont="1" applyFill="1" applyBorder="1" applyAlignment="1">
      <alignment horizontal="center" vertical="center"/>
    </xf>
    <xf numFmtId="165" fontId="33" fillId="11" borderId="48" xfId="1" applyNumberFormat="1" applyFont="1" applyFill="1" applyBorder="1" applyAlignment="1">
      <alignment horizontal="center" vertical="center"/>
    </xf>
    <xf numFmtId="1" fontId="33" fillId="11" borderId="48" xfId="2" applyNumberFormat="1" applyFont="1" applyFill="1" applyBorder="1" applyAlignment="1">
      <alignment horizontal="center" vertical="center"/>
    </xf>
    <xf numFmtId="0" fontId="109" fillId="7" borderId="10" xfId="2" applyFont="1" applyFill="1" applyBorder="1"/>
    <xf numFmtId="1" fontId="108" fillId="0" borderId="9" xfId="11" applyNumberFormat="1" applyFont="1" applyBorder="1" applyAlignment="1">
      <alignment horizontal="center"/>
    </xf>
    <xf numFmtId="2" fontId="4" fillId="9" borderId="9" xfId="2" applyNumberFormat="1" applyFill="1" applyBorder="1"/>
    <xf numFmtId="165" fontId="32" fillId="11" borderId="98" xfId="1" applyNumberFormat="1" applyFont="1" applyFill="1" applyBorder="1" applyAlignment="1">
      <alignment horizontal="center" vertical="center"/>
    </xf>
    <xf numFmtId="165" fontId="33" fillId="11" borderId="98" xfId="1" applyNumberFormat="1" applyFont="1" applyFill="1" applyBorder="1" applyAlignment="1">
      <alignment horizontal="center" vertical="center"/>
    </xf>
    <xf numFmtId="1" fontId="33" fillId="11" borderId="14" xfId="2" applyNumberFormat="1" applyFont="1" applyFill="1" applyBorder="1" applyAlignment="1">
      <alignment horizontal="center" vertical="center"/>
    </xf>
    <xf numFmtId="2" fontId="22" fillId="8" borderId="32" xfId="2" applyNumberFormat="1" applyFont="1" applyFill="1" applyBorder="1"/>
    <xf numFmtId="2" fontId="20" fillId="9" borderId="21" xfId="2" applyNumberFormat="1" applyFont="1" applyFill="1" applyBorder="1"/>
    <xf numFmtId="3" fontId="20" fillId="34" borderId="25" xfId="3" applyNumberFormat="1" applyFont="1" applyFill="1" applyBorder="1" applyProtection="1"/>
    <xf numFmtId="10" fontId="21" fillId="6" borderId="41" xfId="3" applyNumberFormat="1" applyFont="1" applyFill="1" applyBorder="1" applyAlignment="1">
      <alignment horizontal="right"/>
    </xf>
    <xf numFmtId="3" fontId="20" fillId="34" borderId="10" xfId="3" applyNumberFormat="1" applyFont="1" applyFill="1" applyBorder="1" applyProtection="1"/>
    <xf numFmtId="165" fontId="32" fillId="11" borderId="60" xfId="1" applyNumberFormat="1" applyFont="1" applyFill="1" applyBorder="1" applyAlignment="1">
      <alignment horizontal="center" vertical="center" wrapText="1"/>
    </xf>
    <xf numFmtId="165" fontId="32" fillId="11" borderId="50" xfId="1" applyNumberFormat="1" applyFont="1" applyFill="1" applyBorder="1" applyAlignment="1">
      <alignment horizontal="center" vertical="center" wrapText="1"/>
    </xf>
    <xf numFmtId="3" fontId="5" fillId="13" borderId="7" xfId="2" applyNumberFormat="1" applyFont="1" applyFill="1" applyBorder="1" applyAlignment="1">
      <alignment horizontal="center"/>
    </xf>
    <xf numFmtId="1" fontId="5" fillId="13" borderId="7" xfId="2" applyNumberFormat="1" applyFont="1" applyFill="1" applyBorder="1" applyAlignment="1">
      <alignment horizontal="center"/>
    </xf>
    <xf numFmtId="2" fontId="32" fillId="11" borderId="46" xfId="2" applyNumberFormat="1" applyFont="1" applyFill="1" applyBorder="1" applyAlignment="1">
      <alignment horizontal="center"/>
    </xf>
    <xf numFmtId="165" fontId="32" fillId="11" borderId="46" xfId="1" applyNumberFormat="1" applyFont="1" applyFill="1" applyBorder="1" applyAlignment="1">
      <alignment horizontal="center" vertical="center" wrapText="1"/>
    </xf>
    <xf numFmtId="3" fontId="20" fillId="0" borderId="4" xfId="3" applyNumberFormat="1" applyFont="1" applyFill="1" applyBorder="1" applyProtection="1"/>
    <xf numFmtId="3" fontId="5" fillId="13" borderId="48" xfId="2" applyNumberFormat="1" applyFont="1" applyFill="1" applyBorder="1" applyAlignment="1">
      <alignment horizontal="center"/>
    </xf>
    <xf numFmtId="1" fontId="5" fillId="13" borderId="48" xfId="2" applyNumberFormat="1" applyFont="1" applyFill="1" applyBorder="1" applyAlignment="1">
      <alignment horizontal="center"/>
    </xf>
    <xf numFmtId="3" fontId="20" fillId="0" borderId="10" xfId="3" applyNumberFormat="1" applyFont="1" applyFill="1" applyBorder="1" applyProtection="1"/>
    <xf numFmtId="3" fontId="5" fillId="13" borderId="98" xfId="2" applyNumberFormat="1" applyFont="1" applyFill="1" applyBorder="1" applyAlignment="1">
      <alignment horizontal="center"/>
    </xf>
    <xf numFmtId="1" fontId="5" fillId="13" borderId="98" xfId="2" applyNumberFormat="1" applyFont="1" applyFill="1" applyBorder="1" applyAlignment="1">
      <alignment horizontal="center"/>
    </xf>
    <xf numFmtId="0" fontId="114" fillId="37" borderId="45" xfId="0" applyFont="1" applyFill="1" applyBorder="1" applyAlignment="1">
      <alignment horizontal="center" vertical="center" wrapText="1"/>
    </xf>
    <xf numFmtId="0" fontId="115" fillId="0" borderId="45" xfId="0" applyFont="1" applyBorder="1"/>
    <xf numFmtId="165" fontId="42" fillId="0" borderId="33" xfId="8" applyNumberFormat="1" applyFont="1" applyBorder="1"/>
    <xf numFmtId="165" fontId="42" fillId="0" borderId="15" xfId="8" applyNumberFormat="1" applyFont="1" applyBorder="1"/>
    <xf numFmtId="165" fontId="42" fillId="0" borderId="17" xfId="8" applyNumberFormat="1" applyFont="1" applyBorder="1"/>
    <xf numFmtId="3" fontId="74" fillId="39" borderId="29" xfId="4" applyNumberFormat="1" applyFont="1" applyFill="1" applyBorder="1" applyProtection="1">
      <protection locked="0"/>
    </xf>
    <xf numFmtId="1" fontId="61" fillId="0" borderId="78" xfId="5" applyNumberFormat="1" applyFont="1" applyBorder="1"/>
    <xf numFmtId="1" fontId="20" fillId="40" borderId="10" xfId="3" applyNumberFormat="1" applyFont="1" applyFill="1" applyBorder="1" applyProtection="1"/>
    <xf numFmtId="1" fontId="20" fillId="40" borderId="9" xfId="4" applyNumberFormat="1" applyFont="1" applyFill="1" applyBorder="1" applyProtection="1">
      <protection locked="0"/>
    </xf>
    <xf numFmtId="165" fontId="21" fillId="6" borderId="9" xfId="3" applyNumberFormat="1" applyFont="1" applyFill="1" applyBorder="1" applyAlignment="1">
      <alignment horizontal="right"/>
    </xf>
    <xf numFmtId="3" fontId="20" fillId="0" borderId="38" xfId="4" applyNumberFormat="1" applyFont="1" applyFill="1" applyBorder="1" applyProtection="1">
      <protection locked="0"/>
    </xf>
    <xf numFmtId="0" fontId="40" fillId="7" borderId="10" xfId="2" applyFont="1" applyFill="1" applyBorder="1"/>
    <xf numFmtId="3" fontId="20" fillId="0" borderId="25" xfId="3" applyNumberFormat="1" applyFont="1" applyFill="1" applyBorder="1" applyProtection="1"/>
    <xf numFmtId="0" fontId="116" fillId="0" borderId="0" xfId="2" applyFont="1"/>
    <xf numFmtId="0" fontId="27" fillId="0" borderId="44" xfId="0" applyFont="1" applyBorder="1" applyAlignment="1">
      <alignment vertical="center" wrapText="1"/>
    </xf>
    <xf numFmtId="0" fontId="61" fillId="0" borderId="77" xfId="5" applyFont="1" applyBorder="1"/>
    <xf numFmtId="1" fontId="61" fillId="0" borderId="45" xfId="5" applyNumberFormat="1" applyFont="1" applyBorder="1"/>
    <xf numFmtId="0" fontId="61" fillId="0" borderId="48" xfId="5" applyFont="1" applyBorder="1" applyAlignment="1">
      <alignment horizontal="center"/>
    </xf>
    <xf numFmtId="1" fontId="61" fillId="0" borderId="55" xfId="5" applyNumberFormat="1" applyFont="1" applyBorder="1"/>
    <xf numFmtId="1" fontId="64" fillId="0" borderId="55" xfId="5" applyNumberFormat="1" applyFont="1" applyBorder="1"/>
    <xf numFmtId="3" fontId="60" fillId="0" borderId="19" xfId="0" applyNumberFormat="1" applyFont="1" applyBorder="1"/>
    <xf numFmtId="0" fontId="64" fillId="25" borderId="116" xfId="5" applyFont="1" applyFill="1" applyBorder="1"/>
    <xf numFmtId="0" fontId="64" fillId="25" borderId="56" xfId="5" applyFont="1" applyFill="1" applyBorder="1"/>
    <xf numFmtId="0" fontId="64" fillId="25" borderId="117" xfId="5" applyFont="1" applyFill="1" applyBorder="1"/>
    <xf numFmtId="0" fontId="61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7" fillId="0" borderId="8" xfId="0" applyNumberFormat="1" applyFont="1" applyBorder="1" applyAlignment="1">
      <alignment horizontal="center" vertical="center" wrapText="1"/>
    </xf>
    <xf numFmtId="165" fontId="27" fillId="0" borderId="102" xfId="0" applyNumberFormat="1" applyFont="1" applyBorder="1" applyAlignment="1">
      <alignment horizontal="center" vertical="center" wrapText="1"/>
    </xf>
    <xf numFmtId="10" fontId="27" fillId="0" borderId="102" xfId="0" applyNumberFormat="1" applyFont="1" applyBorder="1" applyAlignment="1">
      <alignment horizontal="center" vertical="center" wrapText="1"/>
    </xf>
    <xf numFmtId="10" fontId="60" fillId="22" borderId="70" xfId="2" applyNumberFormat="1" applyFont="1" applyFill="1" applyBorder="1" applyAlignment="1">
      <alignment horizontal="center" vertical="center" wrapText="1"/>
    </xf>
    <xf numFmtId="10" fontId="60" fillId="22" borderId="54" xfId="2" applyNumberFormat="1" applyFont="1" applyFill="1" applyBorder="1" applyAlignment="1">
      <alignment horizontal="center" vertical="center" wrapText="1"/>
    </xf>
    <xf numFmtId="2" fontId="60" fillId="22" borderId="54" xfId="2" applyNumberFormat="1" applyFont="1" applyFill="1" applyBorder="1" applyAlignment="1">
      <alignment horizontal="center" vertical="center" wrapText="1"/>
    </xf>
    <xf numFmtId="10" fontId="53" fillId="22" borderId="54" xfId="2" applyNumberFormat="1" applyFont="1" applyFill="1" applyBorder="1" applyAlignment="1">
      <alignment horizontal="center" vertical="center" wrapText="1"/>
    </xf>
    <xf numFmtId="2" fontId="60" fillId="22" borderId="54" xfId="8" applyNumberFormat="1" applyFont="1" applyFill="1" applyBorder="1" applyAlignment="1">
      <alignment horizontal="center" vertical="center" wrapText="1"/>
    </xf>
    <xf numFmtId="10" fontId="60" fillId="22" borderId="53" xfId="2" applyNumberFormat="1" applyFont="1" applyFill="1" applyBorder="1" applyAlignment="1">
      <alignment horizontal="center" vertical="center" wrapText="1"/>
    </xf>
    <xf numFmtId="10" fontId="60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0" fontId="12" fillId="0" borderId="45" xfId="1" applyNumberFormat="1" applyFont="1" applyFill="1" applyBorder="1" applyAlignment="1">
      <alignment horizontal="center" vertical="center"/>
    </xf>
    <xf numFmtId="2" fontId="12" fillId="0" borderId="45" xfId="0" applyNumberFormat="1" applyFont="1" applyBorder="1" applyAlignment="1">
      <alignment horizontal="center" vertical="center"/>
    </xf>
    <xf numFmtId="0" fontId="107" fillId="0" borderId="10" xfId="11" applyFont="1" applyBorder="1" applyAlignment="1">
      <alignment horizontal="center" vertical="center" wrapText="1"/>
    </xf>
    <xf numFmtId="10" fontId="4" fillId="3" borderId="9" xfId="2" applyNumberFormat="1" applyFill="1" applyBorder="1" applyAlignment="1">
      <alignment horizontal="center" vertical="center" wrapText="1"/>
    </xf>
    <xf numFmtId="166" fontId="20" fillId="5" borderId="1" xfId="2" applyNumberFormat="1" applyFont="1" applyFill="1" applyBorder="1"/>
    <xf numFmtId="166" fontId="20" fillId="5" borderId="4" xfId="2" applyNumberFormat="1" applyFont="1" applyFill="1" applyBorder="1"/>
    <xf numFmtId="166" fontId="20" fillId="5" borderId="10" xfId="2" applyNumberFormat="1" applyFont="1" applyFill="1" applyBorder="1"/>
    <xf numFmtId="165" fontId="17" fillId="5" borderId="9" xfId="2" applyNumberFormat="1" applyFont="1" applyFill="1" applyBorder="1" applyAlignment="1">
      <alignment horizontal="center" vertical="center" wrapText="1"/>
    </xf>
    <xf numFmtId="10" fontId="17" fillId="5" borderId="9" xfId="2" applyNumberFormat="1" applyFont="1" applyFill="1" applyBorder="1" applyAlignment="1">
      <alignment horizontal="center" vertical="center" wrapText="1"/>
    </xf>
    <xf numFmtId="3" fontId="20" fillId="4" borderId="42" xfId="3" applyNumberFormat="1" applyFont="1" applyFill="1" applyBorder="1" applyProtection="1"/>
    <xf numFmtId="165" fontId="17" fillId="5" borderId="1" xfId="2" applyNumberFormat="1" applyFont="1" applyFill="1" applyBorder="1" applyAlignment="1">
      <alignment horizontal="center" vertical="center" wrapText="1"/>
    </xf>
    <xf numFmtId="165" fontId="20" fillId="5" borderId="28" xfId="4" applyNumberFormat="1" applyFont="1" applyFill="1" applyBorder="1" applyProtection="1">
      <protection locked="0"/>
    </xf>
    <xf numFmtId="165" fontId="20" fillId="5" borderId="31" xfId="4" applyNumberFormat="1" applyFont="1" applyFill="1" applyBorder="1" applyProtection="1">
      <protection locked="0"/>
    </xf>
    <xf numFmtId="3" fontId="20" fillId="4" borderId="39" xfId="3" applyNumberFormat="1" applyFont="1" applyFill="1" applyBorder="1" applyProtection="1"/>
    <xf numFmtId="165" fontId="20" fillId="5" borderId="41" xfId="4" applyNumberFormat="1" applyFont="1" applyFill="1" applyBorder="1" applyProtection="1">
      <protection locked="0"/>
    </xf>
    <xf numFmtId="3" fontId="20" fillId="4" borderId="11" xfId="3" applyNumberFormat="1" applyFont="1" applyFill="1" applyBorder="1" applyProtection="1"/>
    <xf numFmtId="165" fontId="20" fillId="5" borderId="12" xfId="4" applyNumberFormat="1" applyFont="1" applyFill="1" applyBorder="1" applyProtection="1">
      <protection locked="0"/>
    </xf>
    <xf numFmtId="10" fontId="20" fillId="5" borderId="41" xfId="4" applyNumberFormat="1" applyFont="1" applyFill="1" applyBorder="1" applyProtection="1">
      <protection locked="0"/>
    </xf>
    <xf numFmtId="10" fontId="20" fillId="5" borderId="42" xfId="2" applyNumberFormat="1" applyFont="1" applyFill="1" applyBorder="1"/>
    <xf numFmtId="10" fontId="20" fillId="5" borderId="43" xfId="2" applyNumberFormat="1" applyFont="1" applyFill="1" applyBorder="1"/>
    <xf numFmtId="10" fontId="20" fillId="5" borderId="44" xfId="2" applyNumberFormat="1" applyFont="1" applyFill="1" applyBorder="1"/>
    <xf numFmtId="0" fontId="0" fillId="0" borderId="0" xfId="0" applyAlignment="1">
      <alignment wrapText="1"/>
    </xf>
    <xf numFmtId="9" fontId="15" fillId="0" borderId="45" xfId="1" applyFont="1" applyBorder="1" applyAlignment="1">
      <alignment horizontal="center"/>
    </xf>
    <xf numFmtId="0" fontId="114" fillId="37" borderId="0" xfId="0" applyFont="1" applyFill="1" applyBorder="1" applyAlignment="1">
      <alignment horizontal="center" vertical="center" wrapText="1"/>
    </xf>
    <xf numFmtId="10" fontId="4" fillId="3" borderId="0" xfId="2" applyNumberFormat="1" applyFill="1" applyBorder="1" applyAlignment="1">
      <alignment horizontal="center" vertical="center" wrapText="1"/>
    </xf>
    <xf numFmtId="9" fontId="17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0" fillId="14" borderId="0" xfId="0" applyFill="1" applyBorder="1"/>
    <xf numFmtId="0" fontId="19" fillId="4" borderId="1" xfId="2" applyFont="1" applyFill="1" applyBorder="1" applyAlignment="1">
      <alignment horizontal="center" vertical="center" wrapText="1"/>
    </xf>
    <xf numFmtId="9" fontId="17" fillId="5" borderId="9" xfId="6" applyNumberFormat="1" applyFont="1" applyFill="1" applyBorder="1" applyAlignment="1">
      <alignment horizontal="center" vertical="center" wrapText="1"/>
    </xf>
    <xf numFmtId="9" fontId="17" fillId="5" borderId="10" xfId="6" applyNumberFormat="1" applyFont="1" applyFill="1" applyBorder="1" applyAlignment="1">
      <alignment horizontal="center" vertical="center" wrapText="1"/>
    </xf>
    <xf numFmtId="10" fontId="20" fillId="5" borderId="9" xfId="4" applyNumberFormat="1" applyFont="1" applyFill="1" applyBorder="1" applyProtection="1">
      <protection locked="0"/>
    </xf>
    <xf numFmtId="2" fontId="17" fillId="5" borderId="13" xfId="2" applyNumberFormat="1" applyFont="1" applyFill="1" applyBorder="1" applyAlignment="1">
      <alignment horizontal="center" vertical="center" wrapText="1"/>
    </xf>
    <xf numFmtId="2" fontId="20" fillId="9" borderId="4" xfId="2" applyNumberFormat="1" applyFont="1" applyFill="1" applyBorder="1"/>
    <xf numFmtId="2" fontId="20" fillId="9" borderId="9" xfId="2" applyNumberFormat="1" applyFont="1" applyFill="1" applyBorder="1"/>
    <xf numFmtId="10" fontId="21" fillId="6" borderId="9" xfId="3" applyNumberFormat="1" applyFont="1" applyFill="1" applyBorder="1" applyAlignment="1">
      <alignment horizontal="right"/>
    </xf>
    <xf numFmtId="10" fontId="17" fillId="5" borderId="10" xfId="2" applyNumberFormat="1" applyFont="1" applyFill="1" applyBorder="1" applyAlignment="1">
      <alignment horizontal="center" vertical="center" wrapText="1"/>
    </xf>
    <xf numFmtId="166" fontId="17" fillId="5" borderId="10" xfId="2" applyNumberFormat="1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horizontal="center" vertical="center" wrapText="1"/>
    </xf>
    <xf numFmtId="9" fontId="27" fillId="7" borderId="8" xfId="0" applyNumberFormat="1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vertical="center" wrapText="1"/>
    </xf>
    <xf numFmtId="10" fontId="27" fillId="7" borderId="12" xfId="1" applyNumberFormat="1" applyFont="1" applyFill="1" applyBorder="1" applyAlignment="1">
      <alignment horizontal="center" vertical="center" wrapText="1"/>
    </xf>
    <xf numFmtId="10" fontId="20" fillId="3" borderId="10" xfId="4" applyNumberFormat="1" applyFont="1" applyFill="1" applyBorder="1" applyProtection="1">
      <protection locked="0"/>
    </xf>
    <xf numFmtId="10" fontId="20" fillId="3" borderId="7" xfId="4" applyNumberFormat="1" applyFont="1" applyFill="1" applyBorder="1" applyProtection="1">
      <protection locked="0"/>
    </xf>
    <xf numFmtId="2" fontId="17" fillId="5" borderId="9" xfId="6" applyNumberFormat="1" applyFont="1" applyFill="1" applyBorder="1" applyAlignment="1">
      <alignment horizontal="center" vertical="center" wrapText="1"/>
    </xf>
    <xf numFmtId="3" fontId="61" fillId="0" borderId="45" xfId="5" applyNumberFormat="1" applyFont="1" applyBorder="1"/>
    <xf numFmtId="0" fontId="14" fillId="24" borderId="60" xfId="5" applyFont="1" applyFill="1" applyBorder="1" applyAlignment="1">
      <alignment horizontal="center" vertical="center" wrapText="1"/>
    </xf>
    <xf numFmtId="0" fontId="72" fillId="16" borderId="73" xfId="5" applyFont="1" applyFill="1" applyBorder="1" applyAlignment="1">
      <alignment horizontal="center" vertical="center" wrapText="1"/>
    </xf>
    <xf numFmtId="0" fontId="72" fillId="16" borderId="118" xfId="5" applyFont="1" applyFill="1" applyBorder="1" applyAlignment="1">
      <alignment horizontal="center" vertical="center" wrapText="1"/>
    </xf>
    <xf numFmtId="0" fontId="72" fillId="16" borderId="74" xfId="5" applyFont="1" applyFill="1" applyBorder="1" applyAlignment="1">
      <alignment horizontal="center" vertical="center" wrapText="1"/>
    </xf>
    <xf numFmtId="0" fontId="72" fillId="16" borderId="119" xfId="0" applyFont="1" applyFill="1" applyBorder="1" applyAlignment="1">
      <alignment horizontal="center" vertical="center" wrapText="1"/>
    </xf>
    <xf numFmtId="0" fontId="64" fillId="25" borderId="3" xfId="5" applyFont="1" applyFill="1" applyBorder="1"/>
    <xf numFmtId="0" fontId="64" fillId="25" borderId="5" xfId="5" applyFont="1" applyFill="1" applyBorder="1"/>
    <xf numFmtId="0" fontId="61" fillId="0" borderId="76" xfId="0" applyFont="1" applyBorder="1" applyAlignment="1">
      <alignment horizontal="center"/>
    </xf>
    <xf numFmtId="0" fontId="65" fillId="0" borderId="116" xfId="5" applyFont="1" applyBorder="1"/>
    <xf numFmtId="0" fontId="65" fillId="0" borderId="0" xfId="5" applyFont="1" applyBorder="1"/>
    <xf numFmtId="0" fontId="64" fillId="0" borderId="0" xfId="5" applyFont="1" applyBorder="1"/>
    <xf numFmtId="0" fontId="0" fillId="0" borderId="5" xfId="0" applyBorder="1"/>
    <xf numFmtId="3" fontId="61" fillId="0" borderId="120" xfId="5" applyNumberFormat="1" applyFont="1" applyBorder="1"/>
    <xf numFmtId="1" fontId="61" fillId="0" borderId="121" xfId="0" applyNumberFormat="1" applyFont="1" applyBorder="1"/>
    <xf numFmtId="0" fontId="38" fillId="15" borderId="45" xfId="2" applyFont="1" applyFill="1" applyBorder="1" applyAlignment="1">
      <alignment horizontal="center" vertical="center" wrapText="1"/>
    </xf>
    <xf numFmtId="3" fontId="27" fillId="0" borderId="122" xfId="10" applyNumberFormat="1" applyFont="1" applyBorder="1"/>
    <xf numFmtId="3" fontId="60" fillId="0" borderId="48" xfId="10" applyNumberFormat="1" applyFont="1" applyBorder="1"/>
    <xf numFmtId="1" fontId="41" fillId="0" borderId="13" xfId="4" applyNumberFormat="1" applyFont="1" applyFill="1" applyBorder="1" applyProtection="1">
      <protection locked="0"/>
    </xf>
    <xf numFmtId="1" fontId="21" fillId="0" borderId="14" xfId="4" applyNumberFormat="1" applyFont="1" applyFill="1" applyBorder="1" applyProtection="1">
      <protection locked="0"/>
    </xf>
    <xf numFmtId="3" fontId="27" fillId="0" borderId="120" xfId="10" applyNumberFormat="1" applyFont="1" applyBorder="1"/>
    <xf numFmtId="1" fontId="117" fillId="0" borderId="127" xfId="4" applyNumberFormat="1" applyFont="1" applyFill="1" applyBorder="1" applyProtection="1">
      <protection locked="0"/>
    </xf>
    <xf numFmtId="1" fontId="21" fillId="0" borderId="45" xfId="4" applyNumberFormat="1" applyFont="1" applyFill="1" applyBorder="1" applyProtection="1">
      <protection locked="0"/>
    </xf>
    <xf numFmtId="1" fontId="38" fillId="15" borderId="45" xfId="2" applyNumberFormat="1" applyFont="1" applyFill="1" applyBorder="1" applyAlignment="1">
      <alignment horizontal="center" vertical="center" wrapText="1"/>
    </xf>
    <xf numFmtId="3" fontId="60" fillId="0" borderId="45" xfId="10" applyNumberFormat="1" applyFont="1" applyBorder="1"/>
    <xf numFmtId="1" fontId="21" fillId="0" borderId="48" xfId="4" applyNumberFormat="1" applyFont="1" applyFill="1" applyBorder="1" applyProtection="1">
      <protection locked="0"/>
    </xf>
    <xf numFmtId="1" fontId="21" fillId="0" borderId="98" xfId="4" applyNumberFormat="1" applyFont="1" applyFill="1" applyBorder="1" applyProtection="1">
      <protection locked="0"/>
    </xf>
    <xf numFmtId="3" fontId="27" fillId="0" borderId="126" xfId="10" applyNumberFormat="1" applyFont="1" applyBorder="1"/>
    <xf numFmtId="1" fontId="20" fillId="0" borderId="121" xfId="4" applyNumberFormat="1" applyFont="1" applyFill="1" applyBorder="1" applyProtection="1">
      <protection locked="0"/>
    </xf>
    <xf numFmtId="1" fontId="20" fillId="0" borderId="125" xfId="4" applyNumberFormat="1" applyFont="1" applyFill="1" applyBorder="1" applyProtection="1">
      <protection locked="0"/>
    </xf>
    <xf numFmtId="3" fontId="27" fillId="0" borderId="124" xfId="10" applyNumberFormat="1" applyFont="1" applyBorder="1"/>
    <xf numFmtId="1" fontId="117" fillId="0" borderId="45" xfId="4" applyNumberFormat="1" applyFont="1" applyFill="1" applyBorder="1" applyProtection="1">
      <protection locked="0"/>
    </xf>
    <xf numFmtId="1" fontId="20" fillId="0" borderId="115" xfId="4" applyNumberFormat="1" applyFont="1" applyFill="1" applyBorder="1" applyProtection="1">
      <protection locked="0"/>
    </xf>
    <xf numFmtId="1" fontId="117" fillId="0" borderId="123" xfId="4" applyNumberFormat="1" applyFont="1" applyFill="1" applyBorder="1" applyProtection="1">
      <protection locked="0"/>
    </xf>
    <xf numFmtId="1" fontId="20" fillId="0" borderId="128" xfId="4" applyNumberFormat="1" applyFont="1" applyFill="1" applyBorder="1" applyProtection="1">
      <protection locked="0"/>
    </xf>
    <xf numFmtId="1" fontId="20" fillId="0" borderId="13" xfId="4" applyNumberFormat="1" applyFont="1" applyFill="1" applyBorder="1" applyProtection="1">
      <protection locked="0"/>
    </xf>
    <xf numFmtId="1" fontId="20" fillId="0" borderId="14" xfId="4" applyNumberFormat="1" applyFont="1" applyFill="1" applyBorder="1" applyProtection="1">
      <protection locked="0"/>
    </xf>
    <xf numFmtId="0" fontId="1" fillId="0" borderId="0" xfId="2" applyFont="1"/>
    <xf numFmtId="0" fontId="12" fillId="0" borderId="46" xfId="0" applyFont="1" applyBorder="1" applyAlignment="1">
      <alignment horizontal="center" vertical="center"/>
    </xf>
    <xf numFmtId="0" fontId="119" fillId="32" borderId="13" xfId="0" applyFont="1" applyFill="1" applyBorder="1" applyAlignment="1">
      <alignment horizontal="center" vertical="center" wrapText="1"/>
    </xf>
    <xf numFmtId="0" fontId="120" fillId="37" borderId="98" xfId="0" applyFont="1" applyFill="1" applyBorder="1" applyAlignment="1">
      <alignment horizontal="center" vertical="center" wrapText="1"/>
    </xf>
    <xf numFmtId="0" fontId="120" fillId="37" borderId="14" xfId="0" applyFont="1" applyFill="1" applyBorder="1" applyAlignment="1">
      <alignment horizontal="center" vertical="center" wrapText="1"/>
    </xf>
    <xf numFmtId="0" fontId="13" fillId="23" borderId="0" xfId="5" applyFont="1" applyFill="1" applyBorder="1" applyAlignment="1">
      <alignment horizontal="center" vertical="center" wrapText="1"/>
    </xf>
    <xf numFmtId="0" fontId="61" fillId="25" borderId="0" xfId="5" applyFont="1" applyFill="1" applyBorder="1" applyAlignment="1">
      <alignment horizontal="center"/>
    </xf>
    <xf numFmtId="0" fontId="61" fillId="0" borderId="0" xfId="5" applyFont="1" applyBorder="1" applyAlignment="1">
      <alignment horizontal="center"/>
    </xf>
    <xf numFmtId="0" fontId="61" fillId="0" borderId="0" xfId="5" applyFont="1" applyBorder="1"/>
    <xf numFmtId="0" fontId="61" fillId="0" borderId="0" xfId="0" applyFont="1" applyBorder="1"/>
    <xf numFmtId="10" fontId="32" fillId="11" borderId="76" xfId="1" applyNumberFormat="1" applyFont="1" applyFill="1" applyBorder="1" applyAlignment="1">
      <alignment horizontal="center"/>
    </xf>
    <xf numFmtId="3" fontId="20" fillId="4" borderId="13" xfId="3" applyNumberFormat="1" applyFont="1" applyFill="1" applyBorder="1" applyProtection="1"/>
    <xf numFmtId="3" fontId="20" fillId="4" borderId="98" xfId="3" applyNumberFormat="1" applyFont="1" applyFill="1" applyBorder="1" applyProtection="1"/>
    <xf numFmtId="3" fontId="20" fillId="4" borderId="98" xfId="3" applyNumberFormat="1" applyFont="1" applyFill="1" applyBorder="1" applyAlignment="1" applyProtection="1">
      <alignment horizontal="center"/>
    </xf>
    <xf numFmtId="10" fontId="20" fillId="3" borderId="98" xfId="4" applyNumberFormat="1" applyFont="1" applyFill="1" applyBorder="1" applyProtection="1">
      <protection locked="0"/>
    </xf>
    <xf numFmtId="10" fontId="20" fillId="5" borderId="98" xfId="6" applyNumberFormat="1" applyFont="1" applyFill="1" applyBorder="1"/>
    <xf numFmtId="10" fontId="20" fillId="5" borderId="98" xfId="4" applyNumberFormat="1" applyFont="1" applyFill="1" applyBorder="1" applyProtection="1">
      <protection locked="0"/>
    </xf>
    <xf numFmtId="165" fontId="21" fillId="6" borderId="98" xfId="3" applyNumberFormat="1" applyFont="1" applyFill="1" applyBorder="1" applyAlignment="1">
      <alignment horizontal="right"/>
    </xf>
    <xf numFmtId="3" fontId="40" fillId="4" borderId="26" xfId="7" applyNumberFormat="1" applyFont="1" applyFill="1" applyBorder="1" applyAlignment="1">
      <alignment horizontal="right" vertical="center" wrapText="1"/>
    </xf>
    <xf numFmtId="3" fontId="20" fillId="4" borderId="29" xfId="3" applyNumberFormat="1" applyFont="1" applyFill="1" applyBorder="1" applyProtection="1"/>
    <xf numFmtId="3" fontId="20" fillId="4" borderId="35" xfId="3" applyNumberFormat="1" applyFont="1" applyFill="1" applyBorder="1" applyProtection="1"/>
    <xf numFmtId="0" fontId="23" fillId="0" borderId="45" xfId="2" applyFont="1" applyBorder="1"/>
    <xf numFmtId="2" fontId="27" fillId="0" borderId="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7" borderId="45" xfId="0" applyFill="1" applyBorder="1"/>
    <xf numFmtId="0" fontId="7" fillId="0" borderId="0" xfId="0" applyFont="1"/>
    <xf numFmtId="10" fontId="20" fillId="5" borderId="117" xfId="4" applyNumberFormat="1" applyFont="1" applyFill="1" applyBorder="1" applyProtection="1">
      <protection locked="0"/>
    </xf>
    <xf numFmtId="2" fontId="32" fillId="11" borderId="115" xfId="2" applyNumberFormat="1" applyFont="1" applyFill="1" applyBorder="1" applyAlignment="1">
      <alignment horizontal="center"/>
    </xf>
    <xf numFmtId="2" fontId="32" fillId="11" borderId="9" xfId="2" applyNumberFormat="1" applyFont="1" applyFill="1" applyBorder="1" applyAlignment="1">
      <alignment horizontal="center"/>
    </xf>
    <xf numFmtId="0" fontId="18" fillId="3" borderId="9" xfId="2" applyFont="1" applyFill="1" applyBorder="1"/>
    <xf numFmtId="9" fontId="14" fillId="6" borderId="5" xfId="1" applyNumberFormat="1" applyFont="1" applyFill="1" applyBorder="1" applyAlignment="1">
      <alignment horizontal="center" vertical="center" wrapText="1"/>
    </xf>
    <xf numFmtId="165" fontId="21" fillId="6" borderId="27" xfId="3" applyNumberFormat="1" applyFont="1" applyFill="1" applyBorder="1" applyAlignment="1">
      <alignment horizontal="right"/>
    </xf>
    <xf numFmtId="165" fontId="21" fillId="6" borderId="30" xfId="3" applyNumberFormat="1" applyFont="1" applyFill="1" applyBorder="1" applyAlignment="1">
      <alignment horizontal="right"/>
    </xf>
    <xf numFmtId="165" fontId="21" fillId="6" borderId="39" xfId="3" applyNumberFormat="1" applyFont="1" applyFill="1" applyBorder="1" applyAlignment="1">
      <alignment horizontal="right"/>
    </xf>
    <xf numFmtId="165" fontId="21" fillId="6" borderId="11" xfId="3" applyNumberFormat="1" applyFont="1" applyFill="1" applyBorder="1" applyAlignment="1">
      <alignment horizontal="right"/>
    </xf>
    <xf numFmtId="10" fontId="32" fillId="11" borderId="51" xfId="1" applyNumberFormat="1" applyFont="1" applyFill="1" applyBorder="1" applyAlignment="1">
      <alignment horizontal="center"/>
    </xf>
    <xf numFmtId="10" fontId="32" fillId="11" borderId="115" xfId="1" applyNumberFormat="1" applyFont="1" applyFill="1" applyBorder="1" applyAlignment="1">
      <alignment horizontal="center"/>
    </xf>
    <xf numFmtId="2" fontId="14" fillId="6" borderId="5" xfId="2" applyNumberFormat="1" applyFont="1" applyFill="1" applyBorder="1" applyAlignment="1">
      <alignment horizontal="center" vertical="center" wrapText="1"/>
    </xf>
    <xf numFmtId="1" fontId="5" fillId="13" borderId="9" xfId="2" applyNumberFormat="1" applyFont="1" applyFill="1" applyBorder="1" applyAlignment="1">
      <alignment horizontal="center"/>
    </xf>
    <xf numFmtId="165" fontId="42" fillId="0" borderId="39" xfId="8" applyNumberFormat="1" applyFont="1" applyBorder="1"/>
    <xf numFmtId="165" fontId="42" fillId="0" borderId="25" xfId="8" applyNumberFormat="1" applyFont="1" applyBorder="1"/>
    <xf numFmtId="10" fontId="60" fillId="23" borderId="38" xfId="8" applyNumberFormat="1" applyFont="1" applyFill="1" applyBorder="1"/>
    <xf numFmtId="0" fontId="42" fillId="0" borderId="9" xfId="8" applyFont="1" applyBorder="1"/>
    <xf numFmtId="165" fontId="42" fillId="0" borderId="11" xfId="8" applyNumberFormat="1" applyFont="1" applyBorder="1"/>
    <xf numFmtId="165" fontId="42" fillId="0" borderId="10" xfId="8" applyNumberFormat="1" applyFont="1" applyBorder="1"/>
    <xf numFmtId="10" fontId="60" fillId="23" borderId="9" xfId="8" applyNumberFormat="1" applyFont="1" applyFill="1" applyBorder="1"/>
    <xf numFmtId="0" fontId="115" fillId="0" borderId="48" xfId="0" applyFont="1" applyBorder="1"/>
    <xf numFmtId="10" fontId="19" fillId="0" borderId="39" xfId="8" applyNumberFormat="1" applyBorder="1"/>
    <xf numFmtId="10" fontId="19" fillId="0" borderId="5" xfId="8" applyNumberFormat="1" applyBorder="1"/>
    <xf numFmtId="10" fontId="63" fillId="9" borderId="38" xfId="8" applyNumberFormat="1" applyFont="1" applyFill="1" applyBorder="1"/>
    <xf numFmtId="0" fontId="19" fillId="0" borderId="9" xfId="8" applyBorder="1"/>
    <xf numFmtId="10" fontId="19" fillId="0" borderId="11" xfId="8" applyNumberFormat="1" applyBorder="1"/>
    <xf numFmtId="165" fontId="4" fillId="0" borderId="11" xfId="2" applyNumberFormat="1" applyBorder="1"/>
    <xf numFmtId="10" fontId="19" fillId="0" borderId="12" xfId="8" applyNumberFormat="1" applyBorder="1"/>
    <xf numFmtId="10" fontId="63" fillId="9" borderId="9" xfId="8" applyNumberFormat="1" applyFont="1" applyFill="1" applyBorder="1"/>
    <xf numFmtId="2" fontId="14" fillId="6" borderId="5" xfId="26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60" fillId="0" borderId="10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27" fillId="22" borderId="0" xfId="0" applyFont="1" applyFill="1" applyAlignment="1">
      <alignment horizontal="center"/>
    </xf>
    <xf numFmtId="0" fontId="27" fillId="7" borderId="0" xfId="0" applyFont="1" applyFill="1" applyAlignment="1">
      <alignment horizontal="center"/>
    </xf>
    <xf numFmtId="0" fontId="27" fillId="0" borderId="4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99" xfId="0" applyFont="1" applyBorder="1" applyAlignment="1">
      <alignment vertical="center" wrapText="1"/>
    </xf>
    <xf numFmtId="0" fontId="27" fillId="0" borderId="100" xfId="0" applyFont="1" applyBorder="1" applyAlignment="1">
      <alignment vertical="center" wrapText="1"/>
    </xf>
    <xf numFmtId="0" fontId="27" fillId="0" borderId="101" xfId="0" applyFont="1" applyBorder="1" applyAlignment="1">
      <alignment vertical="center" wrapText="1"/>
    </xf>
    <xf numFmtId="9" fontId="27" fillId="0" borderId="99" xfId="0" applyNumberFormat="1" applyFont="1" applyBorder="1" applyAlignment="1">
      <alignment horizontal="center" vertical="center" wrapText="1"/>
    </xf>
    <xf numFmtId="9" fontId="27" fillId="0" borderId="100" xfId="0" applyNumberFormat="1" applyFont="1" applyBorder="1" applyAlignment="1">
      <alignment horizontal="center" vertical="center" wrapText="1"/>
    </xf>
    <xf numFmtId="9" fontId="27" fillId="0" borderId="101" xfId="0" applyNumberFormat="1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100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60" fillId="0" borderId="103" xfId="0" applyFont="1" applyBorder="1" applyAlignment="1">
      <alignment horizontal="center" vertical="center" wrapText="1"/>
    </xf>
    <xf numFmtId="0" fontId="60" fillId="0" borderId="104" xfId="0" applyFont="1" applyBorder="1" applyAlignment="1">
      <alignment horizontal="center" vertical="center" wrapText="1"/>
    </xf>
    <xf numFmtId="0" fontId="60" fillId="0" borderId="105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75" fillId="0" borderId="0" xfId="0" applyFont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3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10" fontId="27" fillId="23" borderId="54" xfId="2" applyNumberFormat="1" applyFont="1" applyFill="1" applyBorder="1" applyAlignment="1">
      <alignment horizontal="center" vertical="center" wrapText="1"/>
    </xf>
    <xf numFmtId="0" fontId="27" fillId="23" borderId="75" xfId="0" applyFont="1" applyFill="1" applyBorder="1" applyAlignment="1">
      <alignment horizontal="center" wrapText="1"/>
    </xf>
    <xf numFmtId="0" fontId="27" fillId="23" borderId="75" xfId="0" applyFont="1" applyFill="1" applyBorder="1" applyAlignment="1">
      <alignment horizontal="center" vertical="center" wrapText="1"/>
    </xf>
    <xf numFmtId="2" fontId="27" fillId="23" borderId="54" xfId="2" applyNumberFormat="1" applyFont="1" applyFill="1" applyBorder="1" applyAlignment="1">
      <alignment horizontal="center" vertical="center" wrapText="1"/>
    </xf>
    <xf numFmtId="10" fontId="27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0" fillId="37" borderId="114" xfId="0" applyFont="1" applyFill="1" applyBorder="1" applyAlignment="1">
      <alignment horizontal="center" vertical="center" wrapText="1"/>
    </xf>
    <xf numFmtId="0" fontId="120" fillId="37" borderId="115" xfId="0" applyFont="1" applyFill="1" applyBorder="1" applyAlignment="1">
      <alignment horizontal="center" vertical="center" wrapText="1"/>
    </xf>
    <xf numFmtId="0" fontId="27" fillId="23" borderId="54" xfId="0" applyFont="1" applyFill="1" applyBorder="1" applyAlignment="1">
      <alignment horizontal="center" vertical="center" wrapText="1"/>
    </xf>
    <xf numFmtId="2" fontId="27" fillId="23" borderId="54" xfId="8" applyNumberFormat="1" applyFont="1" applyFill="1" applyBorder="1" applyAlignment="1">
      <alignment horizontal="center" vertical="center" wrapText="1"/>
    </xf>
    <xf numFmtId="10" fontId="27" fillId="23" borderId="6" xfId="2" applyNumberFormat="1" applyFont="1" applyFill="1" applyBorder="1" applyAlignment="1">
      <alignment horizontal="center" vertical="center" wrapText="1"/>
    </xf>
    <xf numFmtId="10" fontId="27" fillId="23" borderId="7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2" applyFont="1" applyAlignment="1">
      <alignment horizontal="left"/>
    </xf>
    <xf numFmtId="0" fontId="12" fillId="3" borderId="1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10" fontId="14" fillId="3" borderId="1" xfId="2" applyNumberFormat="1" applyFont="1" applyFill="1" applyBorder="1" applyAlignment="1">
      <alignment horizontal="center" vertical="center" wrapText="1"/>
    </xf>
    <xf numFmtId="10" fontId="4" fillId="3" borderId="6" xfId="2" applyNumberForma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 wrapText="1"/>
    </xf>
    <xf numFmtId="0" fontId="14" fillId="6" borderId="12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10" fontId="14" fillId="8" borderId="1" xfId="2" applyNumberFormat="1" applyFont="1" applyFill="1" applyBorder="1" applyAlignment="1">
      <alignment horizontal="center" vertical="center" wrapText="1"/>
    </xf>
    <xf numFmtId="10" fontId="4" fillId="8" borderId="6" xfId="2" applyNumberFormat="1" applyFill="1" applyBorder="1" applyAlignment="1">
      <alignment horizontal="center" vertical="center" wrapText="1"/>
    </xf>
    <xf numFmtId="0" fontId="24" fillId="9" borderId="10" xfId="2" applyFont="1" applyFill="1" applyBorder="1" applyAlignment="1">
      <alignment horizontal="center" vertical="center"/>
    </xf>
    <xf numFmtId="0" fontId="24" fillId="9" borderId="12" xfId="2" applyFont="1" applyFill="1" applyBorder="1" applyAlignment="1">
      <alignment horizontal="center" vertical="center"/>
    </xf>
    <xf numFmtId="0" fontId="24" fillId="6" borderId="11" xfId="2" applyFont="1" applyFill="1" applyBorder="1" applyAlignment="1">
      <alignment horizontal="center" vertical="center" wrapText="1"/>
    </xf>
    <xf numFmtId="0" fontId="24" fillId="6" borderId="12" xfId="2" applyFont="1" applyFill="1" applyBorder="1" applyAlignment="1">
      <alignment horizontal="center" vertical="center"/>
    </xf>
    <xf numFmtId="0" fontId="14" fillId="4" borderId="10" xfId="2" applyFont="1" applyFill="1" applyBorder="1" applyAlignment="1">
      <alignment horizontal="center"/>
    </xf>
    <xf numFmtId="0" fontId="14" fillId="4" borderId="11" xfId="2" applyFont="1" applyFill="1" applyBorder="1" applyAlignment="1">
      <alignment horizontal="center"/>
    </xf>
    <xf numFmtId="0" fontId="14" fillId="4" borderId="12" xfId="2" applyFont="1" applyFill="1" applyBorder="1" applyAlignment="1">
      <alignment horizontal="center"/>
    </xf>
    <xf numFmtId="0" fontId="107" fillId="0" borderId="42" xfId="11" applyFont="1" applyBorder="1" applyAlignment="1">
      <alignment horizontal="center" vertical="center" wrapText="1"/>
    </xf>
    <xf numFmtId="0" fontId="107" fillId="0" borderId="44" xfId="11" applyFont="1" applyBorder="1" applyAlignment="1">
      <alignment horizontal="center" vertical="center" wrapText="1"/>
    </xf>
    <xf numFmtId="10" fontId="4" fillId="3" borderId="4" xfId="2" applyNumberForma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/>
    </xf>
    <xf numFmtId="0" fontId="14" fillId="4" borderId="2" xfId="2" applyFont="1" applyFill="1" applyBorder="1" applyAlignment="1">
      <alignment horizontal="center"/>
    </xf>
    <xf numFmtId="0" fontId="35" fillId="3" borderId="2" xfId="2" applyFont="1" applyFill="1" applyBorder="1" applyAlignment="1">
      <alignment horizontal="center" vertical="center" wrapText="1"/>
    </xf>
    <xf numFmtId="0" fontId="35" fillId="3" borderId="3" xfId="2" applyFont="1" applyFill="1" applyBorder="1" applyAlignment="1">
      <alignment horizontal="center" vertical="center" wrapText="1"/>
    </xf>
    <xf numFmtId="0" fontId="35" fillId="3" borderId="6" xfId="2" applyFont="1" applyFill="1" applyBorder="1" applyAlignment="1">
      <alignment horizontal="center" vertical="center" wrapText="1"/>
    </xf>
    <xf numFmtId="0" fontId="35" fillId="3" borderId="7" xfId="2" applyFont="1" applyFill="1" applyBorder="1" applyAlignment="1">
      <alignment horizontal="center" vertical="center" wrapText="1"/>
    </xf>
    <xf numFmtId="0" fontId="35" fillId="3" borderId="8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/>
    </xf>
    <xf numFmtId="0" fontId="38" fillId="0" borderId="48" xfId="2" applyFont="1" applyBorder="1" applyAlignment="1">
      <alignment horizontal="center" wrapText="1"/>
    </xf>
    <xf numFmtId="0" fontId="14" fillId="9" borderId="10" xfId="2" applyFont="1" applyFill="1" applyBorder="1" applyAlignment="1">
      <alignment horizontal="center" vertical="center"/>
    </xf>
    <xf numFmtId="0" fontId="14" fillId="9" borderId="11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6" fillId="4" borderId="70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46" fillId="4" borderId="11" xfId="2" applyFont="1" applyFill="1" applyBorder="1" applyAlignment="1">
      <alignment horizontal="center" vertical="center" wrapText="1"/>
    </xf>
    <xf numFmtId="0" fontId="46" fillId="4" borderId="12" xfId="2" applyFont="1" applyFill="1" applyBorder="1" applyAlignment="1">
      <alignment horizontal="center" vertical="center" wrapText="1"/>
    </xf>
    <xf numFmtId="0" fontId="14" fillId="6" borderId="12" xfId="2" applyFont="1" applyFill="1" applyBorder="1" applyAlignment="1">
      <alignment horizontal="center" vertical="center" wrapText="1"/>
    </xf>
    <xf numFmtId="1" fontId="36" fillId="0" borderId="59" xfId="6" applyNumberFormat="1" applyFont="1" applyBorder="1" applyAlignment="1">
      <alignment horizontal="center"/>
    </xf>
    <xf numFmtId="1" fontId="36" fillId="0" borderId="67" xfId="6" applyNumberFormat="1" applyFont="1" applyBorder="1" applyAlignment="1">
      <alignment horizontal="center"/>
    </xf>
    <xf numFmtId="1" fontId="19" fillId="17" borderId="45" xfId="7" applyNumberFormat="1" applyFill="1" applyBorder="1" applyAlignment="1">
      <alignment horizontal="center"/>
    </xf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 wrapText="1"/>
    </xf>
    <xf numFmtId="0" fontId="12" fillId="3" borderId="6" xfId="6" applyFont="1" applyFill="1" applyBorder="1" applyAlignment="1">
      <alignment horizontal="center" vertical="center" wrapText="1"/>
    </xf>
    <xf numFmtId="0" fontId="12" fillId="3" borderId="7" xfId="6" applyFont="1" applyFill="1" applyBorder="1" applyAlignment="1">
      <alignment horizontal="center" vertical="center" wrapText="1"/>
    </xf>
    <xf numFmtId="0" fontId="12" fillId="3" borderId="8" xfId="6" applyFont="1" applyFill="1" applyBorder="1" applyAlignment="1">
      <alignment horizontal="center" vertical="center" wrapText="1"/>
    </xf>
    <xf numFmtId="10" fontId="14" fillId="3" borderId="1" xfId="6" applyNumberFormat="1" applyFont="1" applyFill="1" applyBorder="1" applyAlignment="1">
      <alignment horizontal="center" vertical="center" wrapText="1"/>
    </xf>
    <xf numFmtId="10" fontId="19" fillId="3" borderId="6" xfId="6" applyNumberFormat="1" applyFill="1" applyBorder="1" applyAlignment="1">
      <alignment horizontal="center" vertical="center" wrapText="1"/>
    </xf>
    <xf numFmtId="0" fontId="14" fillId="5" borderId="10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/>
    </xf>
    <xf numFmtId="0" fontId="14" fillId="6" borderId="10" xfId="6" applyFont="1" applyFill="1" applyBorder="1" applyAlignment="1">
      <alignment horizontal="center" vertical="center" wrapText="1"/>
    </xf>
    <xf numFmtId="0" fontId="14" fillId="6" borderId="12" xfId="6" applyFont="1" applyFill="1" applyBorder="1" applyAlignment="1">
      <alignment horizontal="center" vertical="center"/>
    </xf>
    <xf numFmtId="0" fontId="16" fillId="4" borderId="10" xfId="7" applyFont="1" applyFill="1" applyBorder="1" applyAlignment="1">
      <alignment horizontal="center" vertical="center" wrapText="1"/>
    </xf>
    <xf numFmtId="0" fontId="16" fillId="4" borderId="11" xfId="7" applyFont="1" applyFill="1" applyBorder="1" applyAlignment="1">
      <alignment horizontal="center" vertical="center" wrapText="1"/>
    </xf>
    <xf numFmtId="0" fontId="16" fillId="4" borderId="12" xfId="7" applyFont="1" applyFill="1" applyBorder="1" applyAlignment="1">
      <alignment horizontal="center" vertical="center" wrapText="1"/>
    </xf>
    <xf numFmtId="0" fontId="49" fillId="4" borderId="10" xfId="7" applyFont="1" applyFill="1" applyBorder="1" applyAlignment="1">
      <alignment horizontal="center" vertical="center" wrapText="1"/>
    </xf>
    <xf numFmtId="0" fontId="49" fillId="4" borderId="11" xfId="7" applyFont="1" applyFill="1" applyBorder="1" applyAlignment="1">
      <alignment horizontal="center" vertical="center" wrapText="1"/>
    </xf>
    <xf numFmtId="0" fontId="49" fillId="4" borderId="12" xfId="7" applyFont="1" applyFill="1" applyBorder="1" applyAlignment="1">
      <alignment horizontal="center" vertical="center" wrapText="1"/>
    </xf>
    <xf numFmtId="0" fontId="12" fillId="3" borderId="50" xfId="6" applyFont="1" applyFill="1" applyBorder="1" applyAlignment="1">
      <alignment horizontal="center" vertical="center" wrapText="1"/>
    </xf>
    <xf numFmtId="0" fontId="12" fillId="3" borderId="52" xfId="6" applyFont="1" applyFill="1" applyBorder="1" applyAlignment="1">
      <alignment horizontal="center" vertical="center" wrapText="1"/>
    </xf>
    <xf numFmtId="0" fontId="12" fillId="3" borderId="51" xfId="6" applyFont="1" applyFill="1" applyBorder="1" applyAlignment="1">
      <alignment horizontal="center" vertical="center" wrapText="1"/>
    </xf>
    <xf numFmtId="0" fontId="12" fillId="3" borderId="58" xfId="6" applyFont="1" applyFill="1" applyBorder="1" applyAlignment="1">
      <alignment horizontal="center" vertical="center" wrapText="1"/>
    </xf>
    <xf numFmtId="0" fontId="12" fillId="3" borderId="59" xfId="6" applyFont="1" applyFill="1" applyBorder="1" applyAlignment="1">
      <alignment horizontal="center" vertical="center" wrapText="1"/>
    </xf>
    <xf numFmtId="0" fontId="12" fillId="3" borderId="67" xfId="6" applyFont="1" applyFill="1" applyBorder="1" applyAlignment="1">
      <alignment horizontal="center" vertical="center" wrapText="1"/>
    </xf>
    <xf numFmtId="10" fontId="14" fillId="3" borderId="4" xfId="6" applyNumberFormat="1" applyFont="1" applyFill="1" applyBorder="1" applyAlignment="1">
      <alignment horizontal="center" vertical="center" wrapText="1"/>
    </xf>
    <xf numFmtId="0" fontId="14" fillId="5" borderId="6" xfId="6" applyFont="1" applyFill="1" applyBorder="1" applyAlignment="1">
      <alignment horizontal="center" vertical="center"/>
    </xf>
    <xf numFmtId="0" fontId="14" fillId="5" borderId="7" xfId="6" applyFont="1" applyFill="1" applyBorder="1" applyAlignment="1">
      <alignment horizontal="center" vertical="center"/>
    </xf>
    <xf numFmtId="0" fontId="14" fillId="6" borderId="6" xfId="6" applyFont="1" applyFill="1" applyBorder="1" applyAlignment="1">
      <alignment horizontal="center" vertical="center" wrapText="1"/>
    </xf>
    <xf numFmtId="0" fontId="14" fillId="6" borderId="8" xfId="6" applyFont="1" applyFill="1" applyBorder="1" applyAlignment="1">
      <alignment horizontal="center" vertical="center"/>
    </xf>
    <xf numFmtId="0" fontId="49" fillId="4" borderId="108" xfId="7" applyFont="1" applyFill="1" applyBorder="1" applyAlignment="1">
      <alignment horizontal="center" vertical="center" wrapText="1"/>
    </xf>
    <xf numFmtId="0" fontId="49" fillId="4" borderId="109" xfId="7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10" fontId="4" fillId="3" borderId="7" xfId="2" applyNumberFormat="1" applyFill="1" applyBorder="1" applyAlignment="1">
      <alignment horizontal="center" vertical="center" wrapText="1"/>
    </xf>
    <xf numFmtId="0" fontId="14" fillId="6" borderId="11" xfId="2" applyFont="1" applyFill="1" applyBorder="1" applyAlignment="1">
      <alignment horizontal="center" vertical="center" wrapText="1"/>
    </xf>
    <xf numFmtId="10" fontId="61" fillId="23" borderId="54" xfId="2" applyNumberFormat="1" applyFont="1" applyFill="1" applyBorder="1" applyAlignment="1">
      <alignment horizontal="center" vertical="center" wrapText="1"/>
    </xf>
    <xf numFmtId="0" fontId="61" fillId="23" borderId="74" xfId="0" applyFont="1" applyFill="1" applyBorder="1" applyAlignment="1">
      <alignment horizontal="center" vertical="center" wrapText="1"/>
    </xf>
    <xf numFmtId="10" fontId="61" fillId="23" borderId="53" xfId="2" applyNumberFormat="1" applyFont="1" applyFill="1" applyBorder="1" applyAlignment="1">
      <alignment horizontal="center" vertical="center" wrapText="1"/>
    </xf>
    <xf numFmtId="0" fontId="62" fillId="23" borderId="75" xfId="0" applyFont="1" applyFill="1" applyBorder="1" applyAlignment="1">
      <alignment horizontal="center" vertical="center" wrapText="1"/>
    </xf>
    <xf numFmtId="0" fontId="61" fillId="23" borderId="54" xfId="0" applyFont="1" applyFill="1" applyBorder="1" applyAlignment="1">
      <alignment horizontal="center" vertical="center" wrapText="1"/>
    </xf>
    <xf numFmtId="0" fontId="54" fillId="19" borderId="7" xfId="8" applyFont="1" applyFill="1" applyBorder="1" applyAlignment="1">
      <alignment horizontal="center"/>
    </xf>
    <xf numFmtId="0" fontId="56" fillId="5" borderId="68" xfId="8" applyFont="1" applyFill="1" applyBorder="1" applyAlignment="1">
      <alignment horizontal="center" vertical="center" wrapText="1"/>
    </xf>
    <xf numFmtId="0" fontId="15" fillId="0" borderId="69" xfId="8" applyFont="1" applyBorder="1" applyAlignment="1">
      <alignment wrapText="1"/>
    </xf>
    <xf numFmtId="0" fontId="15" fillId="0" borderId="72" xfId="8" applyFont="1" applyBorder="1" applyAlignment="1">
      <alignment wrapText="1"/>
    </xf>
    <xf numFmtId="0" fontId="57" fillId="5" borderId="11" xfId="8" applyFont="1" applyFill="1" applyBorder="1" applyAlignment="1">
      <alignment horizontal="center" vertical="center" wrapText="1"/>
    </xf>
    <xf numFmtId="10" fontId="58" fillId="5" borderId="68" xfId="8" applyNumberFormat="1" applyFont="1" applyFill="1" applyBorder="1" applyAlignment="1">
      <alignment horizontal="center" vertical="center" wrapText="1"/>
    </xf>
    <xf numFmtId="10" fontId="15" fillId="5" borderId="69" xfId="0" applyNumberFormat="1" applyFont="1" applyFill="1" applyBorder="1" applyAlignment="1">
      <alignment horizontal="center" vertical="center" wrapText="1"/>
    </xf>
    <xf numFmtId="10" fontId="15" fillId="5" borderId="72" xfId="0" applyNumberFormat="1" applyFont="1" applyFill="1" applyBorder="1" applyAlignment="1">
      <alignment horizontal="center" vertical="center" wrapText="1"/>
    </xf>
    <xf numFmtId="10" fontId="27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1" fillId="23" borderId="71" xfId="2" applyNumberFormat="1" applyFont="1" applyFill="1" applyBorder="1" applyAlignment="1">
      <alignment horizontal="center" vertical="center" wrapText="1"/>
    </xf>
    <xf numFmtId="0" fontId="61" fillId="23" borderId="73" xfId="0" applyFont="1" applyFill="1" applyBorder="1" applyAlignment="1">
      <alignment horizontal="center" wrapText="1"/>
    </xf>
    <xf numFmtId="0" fontId="61" fillId="23" borderId="74" xfId="0" applyFont="1" applyFill="1" applyBorder="1" applyAlignment="1">
      <alignment horizontal="center" wrapText="1"/>
    </xf>
    <xf numFmtId="2" fontId="61" fillId="23" borderId="54" xfId="2" applyNumberFormat="1" applyFont="1" applyFill="1" applyBorder="1" applyAlignment="1">
      <alignment horizontal="center" vertical="center" wrapText="1"/>
    </xf>
    <xf numFmtId="2" fontId="61" fillId="23" borderId="54" xfId="8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57" fillId="5" borderId="12" xfId="8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0" fontId="61" fillId="25" borderId="45" xfId="5" applyFont="1" applyFill="1" applyBorder="1" applyAlignment="1">
      <alignment horizontal="center"/>
    </xf>
    <xf numFmtId="0" fontId="67" fillId="23" borderId="60" xfId="5" applyFont="1" applyFill="1" applyBorder="1" applyAlignment="1">
      <alignment horizontal="center" vertical="center" wrapText="1"/>
    </xf>
    <xf numFmtId="0" fontId="67" fillId="23" borderId="61" xfId="5" applyFont="1" applyFill="1" applyBorder="1" applyAlignment="1">
      <alignment horizontal="center" vertical="center" wrapText="1"/>
    </xf>
    <xf numFmtId="0" fontId="13" fillId="23" borderId="76" xfId="5" applyFont="1" applyFill="1" applyBorder="1" applyAlignment="1">
      <alignment horizontal="center" vertical="center" wrapText="1"/>
    </xf>
    <xf numFmtId="0" fontId="67" fillId="7" borderId="60" xfId="5" applyFont="1" applyFill="1" applyBorder="1" applyAlignment="1">
      <alignment horizontal="center" vertical="center" wrapText="1"/>
    </xf>
    <xf numFmtId="0" fontId="67" fillId="7" borderId="61" xfId="5" applyFont="1" applyFill="1" applyBorder="1" applyAlignment="1">
      <alignment horizontal="center" vertical="center" wrapText="1"/>
    </xf>
    <xf numFmtId="0" fontId="13" fillId="7" borderId="76" xfId="5" applyFont="1" applyFill="1" applyBorder="1" applyAlignment="1">
      <alignment horizontal="center" vertical="center" wrapText="1"/>
    </xf>
    <xf numFmtId="0" fontId="21" fillId="23" borderId="45" xfId="0" applyFont="1" applyFill="1" applyBorder="1" applyAlignment="1">
      <alignment horizontal="center" wrapText="1"/>
    </xf>
    <xf numFmtId="0" fontId="75" fillId="28" borderId="45" xfId="0" applyFont="1" applyFill="1" applyBorder="1" applyAlignment="1">
      <alignment horizontal="center" vertical="center" wrapText="1"/>
    </xf>
    <xf numFmtId="0" fontId="49" fillId="23" borderId="60" xfId="5" applyFont="1" applyFill="1" applyBorder="1" applyAlignment="1">
      <alignment horizontal="center" vertical="center" wrapText="1"/>
    </xf>
    <xf numFmtId="0" fontId="49" fillId="23" borderId="61" xfId="5" applyFont="1" applyFill="1" applyBorder="1" applyAlignment="1">
      <alignment horizontal="center" vertical="center" wrapText="1"/>
    </xf>
    <xf numFmtId="0" fontId="74" fillId="23" borderId="76" xfId="5" applyFont="1" applyFill="1" applyBorder="1" applyAlignment="1">
      <alignment horizontal="center" vertical="center" wrapText="1"/>
    </xf>
    <xf numFmtId="0" fontId="75" fillId="23" borderId="60" xfId="5" applyFont="1" applyFill="1" applyBorder="1" applyAlignment="1">
      <alignment horizontal="center" vertical="center" wrapText="1"/>
    </xf>
    <xf numFmtId="0" fontId="75" fillId="23" borderId="61" xfId="5" applyFont="1" applyFill="1" applyBorder="1" applyAlignment="1">
      <alignment horizontal="center" vertical="center" wrapText="1"/>
    </xf>
    <xf numFmtId="0" fontId="75" fillId="23" borderId="76" xfId="5" applyFont="1" applyFill="1" applyBorder="1" applyAlignment="1">
      <alignment horizontal="center" vertical="center" wrapText="1"/>
    </xf>
    <xf numFmtId="0" fontId="78" fillId="16" borderId="10" xfId="5" applyFont="1" applyFill="1" applyBorder="1" applyAlignment="1">
      <alignment horizontal="center" vertical="center" wrapText="1"/>
    </xf>
    <xf numFmtId="0" fontId="78" fillId="16" borderId="11" xfId="5" applyFont="1" applyFill="1" applyBorder="1" applyAlignment="1">
      <alignment horizontal="center" vertical="center" wrapText="1"/>
    </xf>
    <xf numFmtId="0" fontId="78" fillId="16" borderId="12" xfId="5" applyFont="1" applyFill="1" applyBorder="1" applyAlignment="1">
      <alignment horizontal="center" vertical="center" wrapText="1"/>
    </xf>
    <xf numFmtId="0" fontId="78" fillId="7" borderId="76" xfId="5" applyFont="1" applyFill="1" applyBorder="1" applyAlignment="1">
      <alignment horizontal="center" vertical="center" wrapText="1"/>
    </xf>
    <xf numFmtId="0" fontId="78" fillId="7" borderId="45" xfId="5" applyFont="1" applyFill="1" applyBorder="1" applyAlignment="1">
      <alignment horizontal="center" vertical="center" wrapText="1"/>
    </xf>
    <xf numFmtId="0" fontId="78" fillId="38" borderId="45" xfId="5" applyFont="1" applyFill="1" applyBorder="1" applyAlignment="1">
      <alignment horizontal="center" vertical="center" wrapText="1"/>
    </xf>
    <xf numFmtId="0" fontId="80" fillId="29" borderId="83" xfId="10" applyFont="1" applyFill="1" applyBorder="1" applyAlignment="1">
      <alignment horizontal="center" vertical="center" wrapText="1"/>
    </xf>
    <xf numFmtId="0" fontId="80" fillId="29" borderId="82" xfId="10" applyFont="1" applyFill="1" applyBorder="1" applyAlignment="1">
      <alignment horizontal="center" vertical="center" wrapText="1"/>
    </xf>
    <xf numFmtId="0" fontId="80" fillId="29" borderId="91" xfId="10" applyFont="1" applyFill="1" applyBorder="1" applyAlignment="1">
      <alignment horizontal="center" vertical="center" wrapText="1"/>
    </xf>
    <xf numFmtId="0" fontId="80" fillId="29" borderId="84" xfId="10" applyFont="1" applyFill="1" applyBorder="1" applyAlignment="1">
      <alignment horizontal="center" vertical="center"/>
    </xf>
    <xf numFmtId="0" fontId="80" fillId="29" borderId="85" xfId="10" applyFont="1" applyFill="1" applyBorder="1" applyAlignment="1">
      <alignment horizontal="center" vertical="center"/>
    </xf>
    <xf numFmtId="0" fontId="80" fillId="29" borderId="86" xfId="10" applyFont="1" applyFill="1" applyBorder="1" applyAlignment="1">
      <alignment horizontal="center" vertical="center"/>
    </xf>
    <xf numFmtId="0" fontId="80" fillId="29" borderId="87" xfId="10" applyFont="1" applyFill="1" applyBorder="1" applyAlignment="1">
      <alignment horizontal="center" vertical="center" wrapText="1"/>
    </xf>
    <xf numFmtId="0" fontId="80" fillId="29" borderId="88" xfId="10" applyFont="1" applyFill="1" applyBorder="1" applyAlignment="1">
      <alignment horizontal="center" vertical="center" wrapText="1"/>
    </xf>
    <xf numFmtId="0" fontId="80" fillId="29" borderId="89" xfId="10" applyFont="1" applyFill="1" applyBorder="1" applyAlignment="1">
      <alignment horizontal="center" vertical="center" wrapText="1"/>
    </xf>
    <xf numFmtId="0" fontId="5" fillId="36" borderId="45" xfId="12" applyFont="1" applyFill="1" applyBorder="1" applyAlignment="1">
      <alignment horizontal="center" vertical="center" textRotation="90" wrapText="1"/>
    </xf>
    <xf numFmtId="0" fontId="5" fillId="29" borderId="45" xfId="12" applyFont="1" applyFill="1" applyBorder="1" applyAlignment="1">
      <alignment horizontal="center" vertical="center" textRotation="90" wrapText="1"/>
    </xf>
    <xf numFmtId="0" fontId="5" fillId="36" borderId="45" xfId="12" applyFont="1" applyFill="1" applyBorder="1" applyAlignment="1">
      <alignment horizontal="center" vertical="center" wrapText="1"/>
    </xf>
    <xf numFmtId="0" fontId="5" fillId="29" borderId="45" xfId="12" applyFont="1" applyFill="1" applyBorder="1" applyAlignment="1">
      <alignment horizontal="center" vertical="center" wrapText="1"/>
    </xf>
    <xf numFmtId="0" fontId="95" fillId="0" borderId="45" xfId="12" applyFont="1" applyBorder="1" applyAlignment="1">
      <alignment horizontal="center" vertical="center" wrapText="1"/>
    </xf>
    <xf numFmtId="0" fontId="5" fillId="35" borderId="45" xfId="12" applyFont="1" applyFill="1" applyBorder="1" applyAlignment="1">
      <alignment horizontal="center" vertical="center" wrapText="1"/>
    </xf>
    <xf numFmtId="0" fontId="5" fillId="35" borderId="45" xfId="12" applyFont="1" applyFill="1" applyBorder="1" applyAlignment="1">
      <alignment horizontal="center" vertical="center" textRotation="90" wrapText="1"/>
    </xf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63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37.xml"/><Relationship Id="rId84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5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9.xml"/><Relationship Id="rId95" Type="http://schemas.openxmlformats.org/officeDocument/2006/relationships/externalLink" Target="externalLinks/externalLink6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80" Type="http://schemas.openxmlformats.org/officeDocument/2006/relationships/externalLink" Target="externalLinks/externalLink49.xml"/><Relationship Id="rId85" Type="http://schemas.openxmlformats.org/officeDocument/2006/relationships/externalLink" Target="externalLinks/externalLink5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31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91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6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26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</v>
          </cell>
        </row>
        <row r="123">
          <cell r="AE123">
            <v>1</v>
          </cell>
          <cell r="AF123">
            <v>14</v>
          </cell>
        </row>
        <row r="124">
          <cell r="AE124">
            <v>3</v>
          </cell>
          <cell r="AF124">
            <v>8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7</v>
          </cell>
          <cell r="AF123">
            <v>28</v>
          </cell>
        </row>
        <row r="124">
          <cell r="AE124">
            <v>0</v>
          </cell>
          <cell r="AF124">
            <v>8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12</v>
          </cell>
          <cell r="F74">
            <v>17</v>
          </cell>
        </row>
      </sheetData>
      <sheetData sheetId="2">
        <row r="21"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1</v>
          </cell>
          <cell r="AF123">
            <v>18</v>
          </cell>
        </row>
        <row r="124">
          <cell r="AE124">
            <v>0</v>
          </cell>
          <cell r="AF124">
            <v>9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E21">
            <v>0</v>
          </cell>
          <cell r="F21">
            <v>0</v>
          </cell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1</v>
          </cell>
          <cell r="AF123">
            <v>11</v>
          </cell>
        </row>
        <row r="124">
          <cell r="AE124">
            <v>1</v>
          </cell>
          <cell r="AF124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06">
          <cell r="AF106">
            <v>1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</v>
          </cell>
        </row>
        <row r="123">
          <cell r="AE123">
            <v>2</v>
          </cell>
          <cell r="AF123">
            <v>23</v>
          </cell>
        </row>
        <row r="124">
          <cell r="AE124">
            <v>0</v>
          </cell>
          <cell r="AF124">
            <v>4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4">
          <cell r="E14"/>
        </row>
      </sheetData>
      <sheetData sheetId="5">
        <row r="11">
          <cell r="C11">
            <v>0</v>
          </cell>
        </row>
        <row r="13">
          <cell r="C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0</v>
          </cell>
          <cell r="AF123">
            <v>25</v>
          </cell>
        </row>
        <row r="124">
          <cell r="AE124">
            <v>0</v>
          </cell>
          <cell r="AF124">
            <v>4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0</v>
          </cell>
          <cell r="AF123">
            <v>8</v>
          </cell>
        </row>
        <row r="124">
          <cell r="AE124">
            <v>0</v>
          </cell>
          <cell r="AF124">
            <v>3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0</v>
          </cell>
        </row>
        <row r="123">
          <cell r="AE123">
            <v>0</v>
          </cell>
          <cell r="AF123">
            <v>14</v>
          </cell>
        </row>
        <row r="124">
          <cell r="AE124">
            <v>0</v>
          </cell>
          <cell r="AF124">
            <v>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E122">
            <v>0</v>
          </cell>
          <cell r="AF122">
            <v>1</v>
          </cell>
        </row>
        <row r="123">
          <cell r="AE123">
            <v>3</v>
          </cell>
          <cell r="AF123">
            <v>39</v>
          </cell>
        </row>
        <row r="124">
          <cell r="AE124">
            <v>0</v>
          </cell>
          <cell r="AF124">
            <v>8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1047</v>
          </cell>
        </row>
        <row r="24">
          <cell r="B24">
            <v>78</v>
          </cell>
        </row>
      </sheetData>
      <sheetData sheetId="5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06">
          <cell r="AF106">
            <v>1</v>
          </cell>
        </row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</v>
          </cell>
        </row>
        <row r="123">
          <cell r="AE123">
            <v>1</v>
          </cell>
          <cell r="AF123">
            <v>62</v>
          </cell>
        </row>
        <row r="124">
          <cell r="AE124">
            <v>0</v>
          </cell>
          <cell r="AF124">
            <v>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4">
          <cell r="E14"/>
        </row>
      </sheetData>
      <sheetData sheetId="5">
        <row r="11">
          <cell r="C11">
            <v>0</v>
          </cell>
        </row>
        <row r="13">
          <cell r="C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6</v>
          </cell>
        </row>
        <row r="121">
          <cell r="AE121"/>
          <cell r="AF121"/>
        </row>
        <row r="122">
          <cell r="AE122"/>
          <cell r="AF122">
            <v>21</v>
          </cell>
        </row>
        <row r="123">
          <cell r="AE123">
            <v>5</v>
          </cell>
          <cell r="AF123">
            <v>36</v>
          </cell>
        </row>
        <row r="124">
          <cell r="AE124">
            <v>3</v>
          </cell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 refreshError="1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E21">
            <v>0</v>
          </cell>
          <cell r="F21">
            <v>1</v>
          </cell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16</v>
          </cell>
        </row>
        <row r="123">
          <cell r="AE123">
            <v>1</v>
          </cell>
          <cell r="AF123">
            <v>24</v>
          </cell>
        </row>
        <row r="124">
          <cell r="AE124">
            <v>0</v>
          </cell>
          <cell r="AF124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 refreshError="1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 refreshError="1"/>
      <sheetData sheetId="17" refreshError="1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>
            <v>0</v>
          </cell>
        </row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E122">
            <v>0</v>
          </cell>
          <cell r="AF122">
            <v>15</v>
          </cell>
        </row>
        <row r="123">
          <cell r="AE123">
            <v>12</v>
          </cell>
          <cell r="AF123">
            <v>107</v>
          </cell>
        </row>
        <row r="124">
          <cell r="AE124">
            <v>0</v>
          </cell>
          <cell r="AF124">
            <v>3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E21">
            <v>0</v>
          </cell>
          <cell r="F21">
            <v>0</v>
          </cell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>
            <v>19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E21">
            <v>0</v>
          </cell>
          <cell r="F21">
            <v>0</v>
          </cell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8</v>
          </cell>
        </row>
        <row r="121">
          <cell r="AE121"/>
          <cell r="AF121"/>
        </row>
        <row r="122">
          <cell r="AE122"/>
          <cell r="AF122">
            <v>9</v>
          </cell>
        </row>
        <row r="123">
          <cell r="AE123"/>
          <cell r="AF123">
            <v>20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4">
          <cell r="E14"/>
        </row>
      </sheetData>
      <sheetData sheetId="5">
        <row r="11">
          <cell r="C11">
            <v>0</v>
          </cell>
        </row>
        <row r="13">
          <cell r="C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E21">
            <v>0</v>
          </cell>
          <cell r="F21">
            <v>4</v>
          </cell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21</v>
          </cell>
        </row>
        <row r="121">
          <cell r="AE121"/>
          <cell r="AF121"/>
        </row>
        <row r="122">
          <cell r="AE122"/>
          <cell r="AF122">
            <v>20</v>
          </cell>
        </row>
        <row r="123">
          <cell r="AE123">
            <v>1</v>
          </cell>
          <cell r="AF123">
            <v>39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E122">
            <v>0</v>
          </cell>
          <cell r="AF122">
            <v>17</v>
          </cell>
        </row>
        <row r="123">
          <cell r="AE123">
            <v>2</v>
          </cell>
          <cell r="AF123">
            <v>54</v>
          </cell>
        </row>
        <row r="124">
          <cell r="AE124">
            <v>1</v>
          </cell>
          <cell r="AF124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06">
          <cell r="AF106"/>
        </row>
        <row r="120">
          <cell r="AE120"/>
          <cell r="AF120">
            <v>16</v>
          </cell>
        </row>
        <row r="121">
          <cell r="AE121"/>
          <cell r="AF121"/>
        </row>
        <row r="122">
          <cell r="AE122"/>
          <cell r="AF122">
            <v>19</v>
          </cell>
        </row>
        <row r="123">
          <cell r="AE123">
            <v>2</v>
          </cell>
          <cell r="AF123">
            <v>44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  <row r="98">
          <cell r="C98">
            <v>1</v>
          </cell>
        </row>
        <row r="99">
          <cell r="C99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E21">
            <v>0</v>
          </cell>
          <cell r="F21">
            <v>1</v>
          </cell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06">
          <cell r="AF106"/>
        </row>
        <row r="120">
          <cell r="AE120"/>
          <cell r="AF120">
            <v>14</v>
          </cell>
        </row>
        <row r="121">
          <cell r="AE121"/>
          <cell r="AF121"/>
        </row>
        <row r="122">
          <cell r="AE122"/>
          <cell r="AF122">
            <v>15</v>
          </cell>
        </row>
        <row r="123">
          <cell r="AE123">
            <v>1</v>
          </cell>
          <cell r="AF123">
            <v>47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8">
          <cell r="C98">
            <v>4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869</v>
          </cell>
        </row>
        <row r="24">
          <cell r="B24">
            <v>27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>
        <row r="106">
          <cell r="AF106"/>
        </row>
        <row r="120">
          <cell r="AE120"/>
          <cell r="AF120">
            <v>12</v>
          </cell>
        </row>
        <row r="121">
          <cell r="AE121"/>
          <cell r="AF121"/>
        </row>
        <row r="122">
          <cell r="AE122"/>
          <cell r="AF122">
            <v>8</v>
          </cell>
        </row>
        <row r="123">
          <cell r="AE123"/>
          <cell r="AF123">
            <v>28</v>
          </cell>
        </row>
        <row r="124">
          <cell r="AE124"/>
          <cell r="AF124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4">
          <cell r="E14"/>
        </row>
      </sheetData>
      <sheetData sheetId="5">
        <row r="11">
          <cell r="C11">
            <v>0</v>
          </cell>
        </row>
        <row r="13">
          <cell r="C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E21">
            <v>0</v>
          </cell>
          <cell r="F21">
            <v>0</v>
          </cell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06">
          <cell r="AF106">
            <v>2</v>
          </cell>
        </row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E122"/>
          <cell r="AF122">
            <v>13</v>
          </cell>
        </row>
        <row r="123">
          <cell r="AE123"/>
          <cell r="AF123">
            <v>104</v>
          </cell>
        </row>
        <row r="124">
          <cell r="AE124"/>
          <cell r="AF124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E21">
            <v>0</v>
          </cell>
          <cell r="F21">
            <v>0</v>
          </cell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17</v>
          </cell>
        </row>
        <row r="121">
          <cell r="AE121"/>
          <cell r="AF121"/>
        </row>
        <row r="122">
          <cell r="AE122"/>
          <cell r="AF122">
            <v>17</v>
          </cell>
        </row>
        <row r="123">
          <cell r="AE123"/>
          <cell r="AF123">
            <v>125</v>
          </cell>
        </row>
        <row r="124">
          <cell r="AE124"/>
          <cell r="AF124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E21">
            <v>0</v>
          </cell>
          <cell r="F21">
            <v>0</v>
          </cell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8</v>
          </cell>
        </row>
        <row r="121">
          <cell r="AE121"/>
          <cell r="AF121"/>
        </row>
        <row r="122">
          <cell r="AE122"/>
          <cell r="AF122">
            <v>15</v>
          </cell>
        </row>
        <row r="123">
          <cell r="AE123"/>
          <cell r="AF123">
            <v>170</v>
          </cell>
        </row>
        <row r="124">
          <cell r="AE124">
            <v>4</v>
          </cell>
          <cell r="AF124">
            <v>18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E21">
            <v>0</v>
          </cell>
          <cell r="F21">
            <v>0</v>
          </cell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>
            <v>21</v>
          </cell>
        </row>
        <row r="123">
          <cell r="AE123"/>
          <cell r="AF123">
            <v>237</v>
          </cell>
        </row>
        <row r="124">
          <cell r="AE124"/>
          <cell r="AF124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>
        <row r="21">
          <cell r="E21">
            <v>0</v>
          </cell>
          <cell r="F21">
            <v>0</v>
          </cell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1540</v>
          </cell>
        </row>
        <row r="24">
          <cell r="B24">
            <v>64</v>
          </cell>
        </row>
      </sheetData>
      <sheetData sheetId="5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15</v>
          </cell>
        </row>
        <row r="121">
          <cell r="AE121"/>
          <cell r="AF121"/>
        </row>
        <row r="122">
          <cell r="AE122"/>
          <cell r="AF122">
            <v>14</v>
          </cell>
        </row>
        <row r="123">
          <cell r="AE123"/>
          <cell r="AF123">
            <v>159</v>
          </cell>
        </row>
        <row r="124">
          <cell r="AE124"/>
          <cell r="AF124">
            <v>11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4">
          <cell r="E14"/>
        </row>
      </sheetData>
      <sheetData sheetId="5">
        <row r="11">
          <cell r="C11">
            <v>0</v>
          </cell>
        </row>
        <row r="13">
          <cell r="C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E21">
            <v>1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/>
        </row>
        <row r="123">
          <cell r="AE123"/>
          <cell r="AF123"/>
        </row>
        <row r="124">
          <cell r="AE124"/>
          <cell r="AF124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4">
          <cell r="E14"/>
        </row>
      </sheetData>
      <sheetData sheetId="5">
        <row r="11">
          <cell r="C11">
            <v>0</v>
          </cell>
        </row>
        <row r="13">
          <cell r="C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2</v>
          </cell>
        </row>
        <row r="121">
          <cell r="AE121"/>
          <cell r="AF121"/>
        </row>
        <row r="122">
          <cell r="AE122"/>
          <cell r="AF122">
            <v>9</v>
          </cell>
        </row>
        <row r="123">
          <cell r="AE123"/>
          <cell r="AF123">
            <v>44</v>
          </cell>
        </row>
        <row r="124">
          <cell r="AE124"/>
          <cell r="AF124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3</v>
          </cell>
        </row>
        <row r="121">
          <cell r="AE121"/>
          <cell r="AF121"/>
        </row>
        <row r="122">
          <cell r="AE122"/>
          <cell r="AF122">
            <v>5</v>
          </cell>
        </row>
        <row r="123">
          <cell r="AE123">
            <v>2</v>
          </cell>
          <cell r="AF123">
            <v>12</v>
          </cell>
        </row>
        <row r="124">
          <cell r="AE124">
            <v>2</v>
          </cell>
          <cell r="AF124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1</v>
          </cell>
        </row>
        <row r="121">
          <cell r="AE121"/>
          <cell r="AF121"/>
        </row>
        <row r="122">
          <cell r="AE122"/>
          <cell r="AF122">
            <v>6</v>
          </cell>
        </row>
        <row r="123">
          <cell r="AE123"/>
          <cell r="AF123">
            <v>30</v>
          </cell>
        </row>
        <row r="124">
          <cell r="AE124">
            <v>1</v>
          </cell>
          <cell r="AF124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>
            <v>2</v>
          </cell>
        </row>
        <row r="121">
          <cell r="AE121"/>
          <cell r="AF121"/>
        </row>
        <row r="122">
          <cell r="AE122"/>
          <cell r="AF122"/>
        </row>
        <row r="123">
          <cell r="AE123"/>
          <cell r="AF123">
            <v>26</v>
          </cell>
        </row>
        <row r="124">
          <cell r="AE124"/>
          <cell r="AF124">
            <v>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06">
          <cell r="AF106"/>
        </row>
        <row r="120">
          <cell r="AE120"/>
          <cell r="AF120"/>
        </row>
        <row r="121">
          <cell r="AE121"/>
          <cell r="AF121"/>
        </row>
        <row r="122">
          <cell r="AE122"/>
          <cell r="AF122">
            <v>5</v>
          </cell>
        </row>
        <row r="123">
          <cell r="AE123">
            <v>1</v>
          </cell>
          <cell r="AF123">
            <v>27</v>
          </cell>
        </row>
        <row r="124">
          <cell r="AE124">
            <v>1</v>
          </cell>
          <cell r="AF124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  <row r="98">
          <cell r="C98"/>
        </row>
        <row r="99">
          <cell r="C99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74">
          <cell r="C74">
            <v>0</v>
          </cell>
          <cell r="F74">
            <v>0</v>
          </cell>
        </row>
      </sheetData>
      <sheetData sheetId="2"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4">
          <cell r="E14"/>
        </row>
      </sheetData>
      <sheetData sheetId="5">
        <row r="11">
          <cell r="C11">
            <v>0</v>
          </cell>
        </row>
        <row r="13">
          <cell r="C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M9" sqref="M9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793"/>
      <c r="C2" s="793"/>
      <c r="D2" s="793"/>
      <c r="E2" s="793"/>
      <c r="F2" s="793"/>
      <c r="G2" s="793"/>
      <c r="H2" s="793"/>
      <c r="I2" s="793"/>
    </row>
    <row r="3" spans="2:9" ht="62.25" customHeight="1" x14ac:dyDescent="0.45">
      <c r="B3" s="794" t="s">
        <v>0</v>
      </c>
      <c r="C3" s="795"/>
      <c r="D3" s="795"/>
      <c r="E3" s="795"/>
      <c r="F3" s="795"/>
      <c r="G3" s="795"/>
      <c r="H3" s="795"/>
      <c r="I3" s="796"/>
    </row>
    <row r="4" spans="2:9" ht="31.5" customHeight="1" x14ac:dyDescent="0.45">
      <c r="B4" s="797"/>
      <c r="C4" s="798"/>
      <c r="D4" s="798"/>
      <c r="E4" s="798"/>
      <c r="F4" s="798"/>
      <c r="G4" s="798"/>
      <c r="H4" s="798"/>
      <c r="I4" s="799"/>
    </row>
    <row r="5" spans="2:9" ht="56.25" customHeight="1" x14ac:dyDescent="0.45">
      <c r="B5" s="797" t="s">
        <v>1</v>
      </c>
      <c r="C5" s="798"/>
      <c r="D5" s="798"/>
      <c r="E5" s="798"/>
      <c r="F5" s="798"/>
      <c r="G5" s="798"/>
      <c r="H5" s="798"/>
      <c r="I5" s="799"/>
    </row>
    <row r="6" spans="2:9" ht="24.75" customHeight="1" x14ac:dyDescent="0.45">
      <c r="B6" s="797"/>
      <c r="C6" s="798"/>
      <c r="D6" s="798"/>
      <c r="E6" s="798"/>
      <c r="F6" s="798"/>
      <c r="G6" s="798"/>
      <c r="H6" s="798"/>
      <c r="I6" s="799"/>
    </row>
    <row r="7" spans="2:9" ht="58.5" customHeight="1" thickBot="1" x14ac:dyDescent="0.5">
      <c r="B7" s="800" t="s">
        <v>517</v>
      </c>
      <c r="C7" s="801"/>
      <c r="D7" s="801"/>
      <c r="E7" s="801"/>
      <c r="F7" s="801"/>
      <c r="G7" s="801"/>
      <c r="H7" s="801"/>
      <c r="I7" s="802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793">
        <v>2024</v>
      </c>
      <c r="C9" s="793"/>
      <c r="D9" s="793"/>
      <c r="E9" s="793"/>
      <c r="F9" s="793"/>
      <c r="G9" s="793"/>
      <c r="H9" s="793"/>
      <c r="I9" s="793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topLeftCell="A48" zoomScale="136" zoomScaleNormal="136" workbookViewId="0">
      <selection activeCell="D55" sqref="D55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5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6"/>
    <col min="24" max="24" width="3.28515625" customWidth="1"/>
    <col min="26" max="26" width="4.28515625" customWidth="1"/>
    <col min="27" max="27" width="7.5703125" style="337" bestFit="1" customWidth="1"/>
    <col min="28" max="28" width="4" customWidth="1"/>
    <col min="29" max="30" width="4.85546875" customWidth="1"/>
    <col min="31" max="31" width="5.28515625" customWidth="1"/>
    <col min="32" max="32" width="6.85546875" style="336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6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831" t="s">
        <v>255</v>
      </c>
      <c r="C2" s="831"/>
      <c r="D2" s="831"/>
      <c r="E2" s="831"/>
      <c r="F2" s="831"/>
    </row>
    <row r="3" spans="2:41" s="111" customFormat="1" ht="26.25" thickBot="1" x14ac:dyDescent="0.25">
      <c r="B3" s="338" t="s">
        <v>256</v>
      </c>
      <c r="C3" s="339" t="s">
        <v>257</v>
      </c>
      <c r="D3" s="339" t="s">
        <v>258</v>
      </c>
      <c r="E3" s="339" t="s">
        <v>259</v>
      </c>
      <c r="F3" s="339" t="s">
        <v>260</v>
      </c>
      <c r="H3" s="111" t="s">
        <v>261</v>
      </c>
      <c r="R3" s="340"/>
      <c r="W3" s="67"/>
      <c r="AA3" s="341"/>
      <c r="AF3" s="67"/>
      <c r="AO3" s="67"/>
    </row>
    <row r="4" spans="2:41" s="111" customFormat="1" ht="63.75" customHeight="1" x14ac:dyDescent="0.25">
      <c r="B4" s="809">
        <v>1</v>
      </c>
      <c r="C4" s="824" t="s">
        <v>262</v>
      </c>
      <c r="D4" s="824" t="s">
        <v>263</v>
      </c>
      <c r="E4" s="809" t="s">
        <v>264</v>
      </c>
      <c r="F4" s="809">
        <v>4</v>
      </c>
      <c r="H4" s="342" t="s">
        <v>265</v>
      </c>
      <c r="R4" s="340"/>
      <c r="W4" s="67"/>
      <c r="AA4" s="341"/>
      <c r="AF4" s="67"/>
      <c r="AO4" s="67"/>
    </row>
    <row r="5" spans="2:41" s="111" customFormat="1" x14ac:dyDescent="0.2">
      <c r="B5" s="827"/>
      <c r="C5" s="828"/>
      <c r="D5" s="828"/>
      <c r="E5" s="827"/>
      <c r="F5" s="827"/>
      <c r="R5" s="340"/>
      <c r="W5" s="67"/>
      <c r="AA5" s="341"/>
      <c r="AF5" s="67"/>
      <c r="AO5" s="67"/>
    </row>
    <row r="6" spans="2:41" s="111" customFormat="1" x14ac:dyDescent="0.2">
      <c r="B6" s="827"/>
      <c r="C6" s="828"/>
      <c r="D6" s="828"/>
      <c r="E6" s="827"/>
      <c r="F6" s="827"/>
      <c r="R6" s="340"/>
      <c r="W6" s="67"/>
      <c r="AA6" s="341"/>
      <c r="AF6" s="67"/>
      <c r="AO6" s="67"/>
    </row>
    <row r="7" spans="2:41" s="111" customFormat="1" ht="12.75" customHeight="1" x14ac:dyDescent="0.2">
      <c r="B7" s="827"/>
      <c r="C7" s="828"/>
      <c r="D7" s="828"/>
      <c r="E7" s="829"/>
      <c r="F7" s="827"/>
      <c r="R7" s="340"/>
      <c r="W7" s="67"/>
      <c r="AA7" s="341"/>
      <c r="AF7" s="67"/>
      <c r="AO7" s="67"/>
    </row>
    <row r="8" spans="2:41" s="111" customFormat="1" ht="38.25" customHeight="1" thickBot="1" x14ac:dyDescent="0.25">
      <c r="B8" s="810"/>
      <c r="C8" s="825"/>
      <c r="D8" s="825"/>
      <c r="E8" s="830"/>
      <c r="F8" s="810"/>
      <c r="R8" s="340"/>
      <c r="W8" s="67"/>
      <c r="AA8" s="341"/>
      <c r="AF8" s="67"/>
      <c r="AO8" s="67"/>
    </row>
    <row r="9" spans="2:41" s="111" customFormat="1" ht="38.25" customHeight="1" thickBot="1" x14ac:dyDescent="0.25">
      <c r="B9" s="809">
        <v>2</v>
      </c>
      <c r="C9" s="824" t="s">
        <v>266</v>
      </c>
      <c r="D9" s="344" t="s">
        <v>267</v>
      </c>
      <c r="E9" s="345">
        <v>1</v>
      </c>
      <c r="F9" s="346">
        <v>4</v>
      </c>
      <c r="R9" s="340"/>
      <c r="W9" s="67"/>
      <c r="AA9" s="341"/>
      <c r="AF9" s="67"/>
      <c r="AO9" s="67"/>
    </row>
    <row r="10" spans="2:41" s="111" customFormat="1" ht="27" customHeight="1" thickBot="1" x14ac:dyDescent="0.25">
      <c r="B10" s="810"/>
      <c r="C10" s="825"/>
      <c r="D10" s="347" t="s">
        <v>268</v>
      </c>
      <c r="E10" s="345">
        <v>1</v>
      </c>
      <c r="F10" s="348">
        <v>4</v>
      </c>
      <c r="R10" s="340"/>
      <c r="W10" s="67"/>
      <c r="AA10" s="341"/>
      <c r="AF10" s="67"/>
      <c r="AO10" s="67"/>
    </row>
    <row r="11" spans="2:41" s="111" customFormat="1" ht="16.5" customHeight="1" thickBot="1" x14ac:dyDescent="0.25">
      <c r="B11" s="804" t="s">
        <v>269</v>
      </c>
      <c r="C11" s="805"/>
      <c r="D11" s="805"/>
      <c r="E11" s="806"/>
      <c r="F11" s="349">
        <v>0.12</v>
      </c>
      <c r="R11" s="340"/>
      <c r="W11" s="67"/>
      <c r="AA11" s="341"/>
      <c r="AF11" s="67"/>
      <c r="AO11" s="67"/>
    </row>
    <row r="12" spans="2:41" s="111" customFormat="1" ht="15.75" customHeight="1" x14ac:dyDescent="0.2">
      <c r="B12" s="350"/>
      <c r="R12" s="340"/>
      <c r="W12" s="67"/>
      <c r="AA12" s="341"/>
      <c r="AF12" s="67"/>
      <c r="AO12" s="67"/>
    </row>
    <row r="13" spans="2:41" s="111" customFormat="1" ht="18.75" x14ac:dyDescent="0.2">
      <c r="B13" s="826" t="s">
        <v>270</v>
      </c>
      <c r="C13" s="826"/>
      <c r="D13" s="826"/>
      <c r="E13" s="826"/>
      <c r="F13" s="826"/>
      <c r="R13" s="340"/>
      <c r="W13" s="67"/>
      <c r="AA13" s="341"/>
      <c r="AF13" s="67"/>
      <c r="AO13" s="67"/>
    </row>
    <row r="14" spans="2:41" s="111" customFormat="1" ht="13.5" customHeight="1" thickBot="1" x14ac:dyDescent="0.25">
      <c r="B14" s="350"/>
      <c r="R14" s="340"/>
      <c r="W14" s="67"/>
      <c r="AA14" s="341"/>
      <c r="AF14" s="67"/>
      <c r="AO14" s="67"/>
    </row>
    <row r="15" spans="2:41" s="111" customFormat="1" ht="27" customHeight="1" thickBot="1" x14ac:dyDescent="0.25">
      <c r="B15" s="351" t="s">
        <v>256</v>
      </c>
      <c r="C15" s="352" t="s">
        <v>257</v>
      </c>
      <c r="D15" s="352" t="s">
        <v>258</v>
      </c>
      <c r="E15" s="352" t="s">
        <v>271</v>
      </c>
      <c r="F15" s="352" t="s">
        <v>260</v>
      </c>
      <c r="R15" s="340"/>
      <c r="W15" s="67"/>
      <c r="AA15" s="341"/>
      <c r="AF15" s="67"/>
      <c r="AO15" s="67"/>
    </row>
    <row r="16" spans="2:41" s="111" customFormat="1" ht="40.5" customHeight="1" thickBot="1" x14ac:dyDescent="0.25">
      <c r="B16" s="343">
        <v>3</v>
      </c>
      <c r="C16" s="344" t="s">
        <v>272</v>
      </c>
      <c r="D16" s="344" t="s">
        <v>273</v>
      </c>
      <c r="E16" s="353">
        <v>1.08</v>
      </c>
      <c r="F16" s="353">
        <v>6</v>
      </c>
      <c r="R16" s="340"/>
      <c r="W16" s="67"/>
      <c r="AA16" s="341"/>
      <c r="AF16" s="67"/>
      <c r="AO16" s="67"/>
    </row>
    <row r="17" spans="2:41" s="111" customFormat="1" ht="15.75" customHeight="1" x14ac:dyDescent="0.2">
      <c r="B17" s="809">
        <v>4</v>
      </c>
      <c r="C17" s="824" t="s">
        <v>274</v>
      </c>
      <c r="D17" s="809" t="s">
        <v>275</v>
      </c>
      <c r="E17" s="809" t="s">
        <v>464</v>
      </c>
      <c r="F17" s="809">
        <v>5</v>
      </c>
      <c r="R17" s="340"/>
      <c r="W17" s="67"/>
      <c r="AA17" s="341"/>
      <c r="AF17" s="67"/>
      <c r="AO17" s="67"/>
    </row>
    <row r="18" spans="2:41" s="111" customFormat="1" ht="12.75" customHeight="1" x14ac:dyDescent="0.2">
      <c r="B18" s="827"/>
      <c r="C18" s="828"/>
      <c r="D18" s="829"/>
      <c r="E18" s="827"/>
      <c r="F18" s="827"/>
      <c r="R18" s="340"/>
      <c r="W18" s="67"/>
      <c r="AA18" s="341"/>
      <c r="AF18" s="67"/>
      <c r="AO18" s="67"/>
    </row>
    <row r="19" spans="2:41" s="111" customFormat="1" ht="12.75" customHeight="1" x14ac:dyDescent="0.2">
      <c r="B19" s="827"/>
      <c r="C19" s="828"/>
      <c r="D19" s="829"/>
      <c r="E19" s="827"/>
      <c r="F19" s="827"/>
      <c r="R19" s="340"/>
      <c r="W19" s="67"/>
      <c r="AA19" s="341"/>
      <c r="AF19" s="67"/>
      <c r="AO19" s="67"/>
    </row>
    <row r="20" spans="2:41" s="111" customFormat="1" ht="12.75" customHeight="1" x14ac:dyDescent="0.2">
      <c r="B20" s="827"/>
      <c r="C20" s="828"/>
      <c r="D20" s="829"/>
      <c r="E20" s="827"/>
      <c r="F20" s="827"/>
      <c r="R20" s="340"/>
      <c r="W20" s="67"/>
      <c r="AA20" s="341"/>
      <c r="AF20" s="67"/>
      <c r="AO20" s="67"/>
    </row>
    <row r="21" spans="2:41" s="111" customFormat="1" ht="13.5" customHeight="1" thickBot="1" x14ac:dyDescent="0.25">
      <c r="B21" s="810"/>
      <c r="C21" s="825"/>
      <c r="D21" s="830"/>
      <c r="E21" s="810"/>
      <c r="F21" s="810"/>
      <c r="R21" s="340"/>
      <c r="W21" s="67"/>
      <c r="AA21" s="341"/>
      <c r="AF21" s="67"/>
      <c r="AO21" s="67"/>
    </row>
    <row r="22" spans="2:41" s="111" customFormat="1" ht="26.25" thickBot="1" x14ac:dyDescent="0.25">
      <c r="B22" s="343">
        <v>5</v>
      </c>
      <c r="C22" s="344" t="s">
        <v>163</v>
      </c>
      <c r="D22" s="344" t="s">
        <v>276</v>
      </c>
      <c r="E22" s="759">
        <v>0.16500000000000001</v>
      </c>
      <c r="F22" s="353">
        <v>5</v>
      </c>
      <c r="R22" s="340"/>
      <c r="W22" s="67"/>
      <c r="AA22" s="341"/>
      <c r="AF22" s="67"/>
      <c r="AO22" s="67"/>
    </row>
    <row r="23" spans="2:41" s="111" customFormat="1" ht="39" thickBot="1" x14ac:dyDescent="0.25">
      <c r="B23" s="692" t="s">
        <v>476</v>
      </c>
      <c r="C23" s="688" t="s">
        <v>478</v>
      </c>
      <c r="D23" s="693"/>
      <c r="E23" s="696">
        <v>0.1119</v>
      </c>
      <c r="F23" s="694"/>
      <c r="R23" s="340"/>
      <c r="W23" s="67"/>
      <c r="AA23" s="341"/>
      <c r="AF23" s="67"/>
      <c r="AO23" s="67"/>
    </row>
    <row r="24" spans="2:41" s="111" customFormat="1" ht="62.25" customHeight="1" thickBot="1" x14ac:dyDescent="0.25">
      <c r="B24" s="695" t="s">
        <v>477</v>
      </c>
      <c r="C24" s="695" t="s">
        <v>479</v>
      </c>
      <c r="D24" s="689" t="s">
        <v>277</v>
      </c>
      <c r="E24" s="691">
        <v>0.1</v>
      </c>
      <c r="F24" s="690">
        <v>6</v>
      </c>
      <c r="R24" s="340"/>
      <c r="W24" s="67"/>
      <c r="AA24" s="341"/>
      <c r="AF24" s="67"/>
      <c r="AO24" s="67"/>
    </row>
    <row r="25" spans="2:41" s="111" customFormat="1" ht="39" thickBot="1" x14ac:dyDescent="0.25">
      <c r="B25" s="623">
        <v>6.2</v>
      </c>
      <c r="C25" s="623"/>
      <c r="D25" s="354" t="s">
        <v>278</v>
      </c>
      <c r="E25" s="355">
        <v>0.39</v>
      </c>
      <c r="F25" s="353">
        <v>6</v>
      </c>
      <c r="R25" s="340"/>
      <c r="W25" s="67"/>
      <c r="AA25" s="341"/>
      <c r="AF25" s="67"/>
      <c r="AO25" s="67"/>
    </row>
    <row r="26" spans="2:41" s="111" customFormat="1" ht="39" thickBot="1" x14ac:dyDescent="0.25">
      <c r="B26" s="343">
        <v>7</v>
      </c>
      <c r="C26" s="344" t="s">
        <v>279</v>
      </c>
      <c r="D26" s="344" t="s">
        <v>280</v>
      </c>
      <c r="E26" s="355">
        <v>0.95</v>
      </c>
      <c r="F26" s="353">
        <v>5</v>
      </c>
      <c r="R26" s="340"/>
      <c r="W26" s="67"/>
      <c r="AA26" s="341"/>
      <c r="AF26" s="67"/>
      <c r="AO26" s="67"/>
    </row>
    <row r="27" spans="2:41" s="111" customFormat="1" ht="39" thickBot="1" x14ac:dyDescent="0.25">
      <c r="B27" s="343">
        <v>8</v>
      </c>
      <c r="C27" s="344" t="s">
        <v>281</v>
      </c>
      <c r="D27" s="344" t="s">
        <v>282</v>
      </c>
      <c r="E27" s="636">
        <v>0.19439999999999999</v>
      </c>
      <c r="F27" s="353">
        <v>6</v>
      </c>
      <c r="R27" s="340"/>
      <c r="W27" s="67"/>
      <c r="AA27" s="341"/>
      <c r="AF27" s="67"/>
      <c r="AO27" s="67"/>
    </row>
    <row r="28" spans="2:41" s="111" customFormat="1" ht="44.25" customHeight="1" thickBot="1" x14ac:dyDescent="0.25">
      <c r="B28" s="343">
        <v>9</v>
      </c>
      <c r="C28" s="344" t="s">
        <v>283</v>
      </c>
      <c r="D28" s="344" t="s">
        <v>284</v>
      </c>
      <c r="E28" s="636">
        <v>0.46839999999999998</v>
      </c>
      <c r="F28" s="353">
        <v>5</v>
      </c>
      <c r="R28" s="340"/>
      <c r="W28" s="67"/>
      <c r="AA28" s="341"/>
      <c r="AF28" s="67"/>
      <c r="AO28" s="67"/>
    </row>
    <row r="29" spans="2:41" s="111" customFormat="1" ht="55.5" customHeight="1" thickBot="1" x14ac:dyDescent="0.25">
      <c r="B29" s="809">
        <v>10</v>
      </c>
      <c r="C29" s="809" t="s">
        <v>285</v>
      </c>
      <c r="D29" s="344" t="s">
        <v>286</v>
      </c>
      <c r="E29" s="636">
        <v>0.23880000000000001</v>
      </c>
      <c r="F29" s="809">
        <v>6</v>
      </c>
      <c r="H29" s="760" t="s">
        <v>511</v>
      </c>
      <c r="R29" s="340"/>
      <c r="W29" s="67"/>
      <c r="AA29" s="341"/>
      <c r="AF29" s="67"/>
      <c r="AO29" s="67"/>
    </row>
    <row r="30" spans="2:41" s="111" customFormat="1" ht="39" thickBot="1" x14ac:dyDescent="0.25">
      <c r="B30" s="810"/>
      <c r="C30" s="810"/>
      <c r="D30" s="344" t="s">
        <v>287</v>
      </c>
      <c r="E30" s="356">
        <v>6</v>
      </c>
      <c r="F30" s="810"/>
      <c r="R30" s="340"/>
      <c r="W30" s="67"/>
      <c r="AA30" s="341"/>
      <c r="AF30" s="67"/>
      <c r="AO30" s="67"/>
    </row>
    <row r="31" spans="2:41" s="111" customFormat="1" x14ac:dyDescent="0.2">
      <c r="B31" s="811">
        <v>11</v>
      </c>
      <c r="C31" s="811" t="s">
        <v>288</v>
      </c>
      <c r="D31" s="811" t="s">
        <v>289</v>
      </c>
      <c r="E31" s="814">
        <v>1</v>
      </c>
      <c r="F31" s="817" t="s">
        <v>290</v>
      </c>
      <c r="R31" s="340"/>
      <c r="W31" s="67"/>
      <c r="AA31" s="341"/>
      <c r="AF31" s="67"/>
      <c r="AO31" s="67"/>
    </row>
    <row r="32" spans="2:41" s="111" customFormat="1" ht="15.75" customHeight="1" x14ac:dyDescent="0.2">
      <c r="B32" s="812"/>
      <c r="C32" s="812"/>
      <c r="D32" s="812"/>
      <c r="E32" s="815"/>
      <c r="F32" s="818"/>
      <c r="R32" s="340"/>
      <c r="W32" s="67"/>
      <c r="AA32" s="341"/>
      <c r="AF32" s="67"/>
      <c r="AO32" s="67"/>
    </row>
    <row r="33" spans="2:53" s="111" customFormat="1" ht="13.5" customHeight="1" thickBot="1" x14ac:dyDescent="0.25">
      <c r="B33" s="813"/>
      <c r="C33" s="813"/>
      <c r="D33" s="813"/>
      <c r="E33" s="816"/>
      <c r="F33" s="819"/>
      <c r="R33" s="340"/>
      <c r="W33" s="67"/>
      <c r="AA33" s="341"/>
      <c r="AF33" s="67"/>
      <c r="AO33" s="67"/>
    </row>
    <row r="34" spans="2:53" s="111" customFormat="1" ht="39" thickBot="1" x14ac:dyDescent="0.3">
      <c r="B34" s="357">
        <v>12</v>
      </c>
      <c r="C34" s="358" t="s">
        <v>291</v>
      </c>
      <c r="D34" s="358" t="s">
        <v>292</v>
      </c>
      <c r="E34" s="359">
        <v>0.85</v>
      </c>
      <c r="F34" s="360">
        <v>5</v>
      </c>
      <c r="H34" s="342" t="s">
        <v>293</v>
      </c>
      <c r="R34" s="340"/>
      <c r="W34" s="67"/>
      <c r="AA34" s="341"/>
      <c r="AF34" s="67"/>
      <c r="AO34" s="67"/>
    </row>
    <row r="35" spans="2:53" s="111" customFormat="1" ht="26.25" thickBot="1" x14ac:dyDescent="0.25">
      <c r="B35" s="357">
        <v>13</v>
      </c>
      <c r="C35" s="358" t="s">
        <v>294</v>
      </c>
      <c r="D35" s="358" t="s">
        <v>295</v>
      </c>
      <c r="E35" s="638">
        <v>0.90710000000000002</v>
      </c>
      <c r="F35" s="360">
        <v>6</v>
      </c>
      <c r="R35" s="340"/>
      <c r="W35" s="67"/>
      <c r="AA35" s="341"/>
      <c r="AF35" s="67"/>
      <c r="AO35" s="67"/>
    </row>
    <row r="36" spans="2:53" s="111" customFormat="1" ht="51.75" thickBot="1" x14ac:dyDescent="0.3">
      <c r="B36" s="357">
        <v>14</v>
      </c>
      <c r="C36" s="358" t="s">
        <v>296</v>
      </c>
      <c r="D36" s="358" t="s">
        <v>297</v>
      </c>
      <c r="E36" s="638">
        <v>0.2344</v>
      </c>
      <c r="F36" s="360">
        <v>6</v>
      </c>
      <c r="H36" s="342" t="s">
        <v>293</v>
      </c>
      <c r="R36" s="340"/>
      <c r="W36" s="67"/>
      <c r="AA36" s="341"/>
      <c r="AF36" s="67"/>
      <c r="AO36" s="67"/>
    </row>
    <row r="37" spans="2:53" s="111" customFormat="1" ht="39" thickBot="1" x14ac:dyDescent="0.3">
      <c r="B37" s="357">
        <v>15</v>
      </c>
      <c r="C37" s="358" t="s">
        <v>298</v>
      </c>
      <c r="D37" s="358" t="s">
        <v>299</v>
      </c>
      <c r="E37" s="638">
        <v>0.55289999999999995</v>
      </c>
      <c r="F37" s="361">
        <v>6</v>
      </c>
      <c r="H37" s="342" t="s">
        <v>293</v>
      </c>
      <c r="R37" s="340"/>
      <c r="W37" s="67"/>
      <c r="AA37" s="341"/>
      <c r="AF37" s="67"/>
      <c r="AO37" s="67"/>
    </row>
    <row r="38" spans="2:53" s="111" customFormat="1" ht="39" thickBot="1" x14ac:dyDescent="0.3">
      <c r="B38" s="357">
        <v>16</v>
      </c>
      <c r="C38" s="358" t="s">
        <v>300</v>
      </c>
      <c r="D38" s="358" t="s">
        <v>301</v>
      </c>
      <c r="E38" s="638">
        <v>0.5423</v>
      </c>
      <c r="F38" s="360">
        <v>6</v>
      </c>
      <c r="H38" s="342" t="s">
        <v>293</v>
      </c>
      <c r="R38" s="340"/>
      <c r="W38" s="67"/>
      <c r="AA38" s="341"/>
      <c r="AF38" s="67"/>
      <c r="AO38" s="67"/>
    </row>
    <row r="39" spans="2:53" s="111" customFormat="1" ht="13.5" thickBot="1" x14ac:dyDescent="0.25">
      <c r="B39" s="820" t="s">
        <v>302</v>
      </c>
      <c r="C39" s="821"/>
      <c r="D39" s="821"/>
      <c r="E39" s="822"/>
      <c r="F39" s="362">
        <v>0.79</v>
      </c>
      <c r="R39" s="340"/>
      <c r="W39" s="67"/>
      <c r="AA39" s="341"/>
      <c r="AF39" s="67"/>
      <c r="AO39" s="67"/>
    </row>
    <row r="40" spans="2:53" s="111" customFormat="1" x14ac:dyDescent="0.2">
      <c r="B40" s="350"/>
      <c r="R40" s="340"/>
      <c r="W40" s="67"/>
      <c r="AA40" s="341"/>
      <c r="AF40" s="67"/>
      <c r="AO40" s="67"/>
    </row>
    <row r="41" spans="2:53" s="111" customFormat="1" ht="19.5" thickBot="1" x14ac:dyDescent="0.25">
      <c r="B41" s="823" t="s">
        <v>303</v>
      </c>
      <c r="C41" s="823"/>
      <c r="D41" s="823"/>
      <c r="E41" s="823"/>
      <c r="F41" s="823"/>
      <c r="R41" s="340"/>
      <c r="W41" s="67"/>
      <c r="AA41" s="341"/>
      <c r="AF41" s="67"/>
      <c r="AO41" s="67"/>
    </row>
    <row r="42" spans="2:53" s="111" customFormat="1" ht="26.25" thickBot="1" x14ac:dyDescent="0.25">
      <c r="B42" s="338" t="s">
        <v>304</v>
      </c>
      <c r="C42" s="339" t="s">
        <v>257</v>
      </c>
      <c r="D42" s="339" t="s">
        <v>258</v>
      </c>
      <c r="E42" s="339" t="s">
        <v>271</v>
      </c>
      <c r="F42" s="339" t="s">
        <v>260</v>
      </c>
      <c r="R42" s="340"/>
      <c r="W42" s="67"/>
      <c r="AA42" s="341"/>
      <c r="AF42" s="67"/>
      <c r="AO42" s="67"/>
    </row>
    <row r="43" spans="2:53" s="111" customFormat="1" ht="44.25" customHeight="1" thickBot="1" x14ac:dyDescent="0.25">
      <c r="B43" s="343">
        <v>17</v>
      </c>
      <c r="C43" s="344" t="s">
        <v>305</v>
      </c>
      <c r="D43" s="344" t="s">
        <v>306</v>
      </c>
      <c r="E43" s="359">
        <v>0.95</v>
      </c>
      <c r="F43" s="353">
        <v>5</v>
      </c>
      <c r="R43" s="340"/>
      <c r="U43" s="803" t="s">
        <v>307</v>
      </c>
      <c r="V43" s="803"/>
      <c r="W43" s="803"/>
      <c r="X43" s="803"/>
      <c r="Y43" s="803"/>
      <c r="Z43" s="803"/>
      <c r="AA43" s="803"/>
      <c r="AD43" s="803" t="s">
        <v>308</v>
      </c>
      <c r="AE43" s="803"/>
      <c r="AF43" s="803"/>
      <c r="AG43" s="803"/>
      <c r="AH43" s="803"/>
      <c r="AI43" s="803"/>
      <c r="AJ43" s="803"/>
      <c r="AM43" s="803" t="s">
        <v>309</v>
      </c>
      <c r="AN43" s="803"/>
      <c r="AO43" s="803"/>
      <c r="AP43" s="803"/>
      <c r="AQ43" s="803"/>
      <c r="AR43" s="803"/>
      <c r="AS43" s="803"/>
      <c r="AU43" s="803" t="s">
        <v>310</v>
      </c>
      <c r="AV43" s="803"/>
      <c r="AW43" s="803"/>
      <c r="AX43" s="803"/>
      <c r="AY43" s="803"/>
      <c r="AZ43" s="803"/>
      <c r="BA43" s="803"/>
    </row>
    <row r="44" spans="2:53" s="111" customFormat="1" ht="51.75" thickBot="1" x14ac:dyDescent="0.3">
      <c r="B44" s="343">
        <v>18</v>
      </c>
      <c r="C44" s="344" t="s">
        <v>311</v>
      </c>
      <c r="D44" s="344" t="s">
        <v>312</v>
      </c>
      <c r="E44" s="637">
        <v>0.65900000000000003</v>
      </c>
      <c r="F44" s="353">
        <v>4</v>
      </c>
      <c r="H44" s="342" t="s">
        <v>293</v>
      </c>
      <c r="R44" s="340"/>
      <c r="T44" s="363" t="s">
        <v>313</v>
      </c>
      <c r="U44" s="807" t="s">
        <v>314</v>
      </c>
      <c r="V44" s="807"/>
      <c r="W44" s="807"/>
      <c r="X44" s="363"/>
      <c r="Y44" s="807" t="s">
        <v>315</v>
      </c>
      <c r="Z44" s="807"/>
      <c r="AA44" s="807"/>
      <c r="AC44" s="364" t="s">
        <v>316</v>
      </c>
      <c r="AD44" s="808" t="s">
        <v>314</v>
      </c>
      <c r="AE44" s="808"/>
      <c r="AF44" s="808"/>
      <c r="AG44" s="365"/>
      <c r="AH44" s="808" t="s">
        <v>315</v>
      </c>
      <c r="AI44" s="808"/>
      <c r="AJ44" s="808"/>
      <c r="AL44" s="366" t="s">
        <v>317</v>
      </c>
      <c r="AM44" s="807" t="s">
        <v>314</v>
      </c>
      <c r="AN44" s="807"/>
      <c r="AO44" s="807"/>
      <c r="AP44" s="363"/>
      <c r="AQ44" s="807" t="s">
        <v>315</v>
      </c>
      <c r="AR44" s="807"/>
      <c r="AS44" s="807"/>
      <c r="AU44" s="803" t="s">
        <v>314</v>
      </c>
      <c r="AV44" s="803"/>
      <c r="AW44" s="803"/>
      <c r="AY44" s="803" t="s">
        <v>315</v>
      </c>
      <c r="AZ44" s="803"/>
      <c r="BA44" s="803"/>
    </row>
    <row r="45" spans="2:53" s="111" customFormat="1" ht="16.5" thickBot="1" x14ac:dyDescent="0.3">
      <c r="B45" s="804" t="s">
        <v>318</v>
      </c>
      <c r="C45" s="805"/>
      <c r="D45" s="805"/>
      <c r="E45" s="806"/>
      <c r="F45" s="367">
        <v>0.09</v>
      </c>
      <c r="O45" s="368">
        <v>1</v>
      </c>
      <c r="P45" s="368">
        <v>4</v>
      </c>
      <c r="R45" s="340"/>
      <c r="U45" s="369">
        <v>1</v>
      </c>
      <c r="V45" s="370">
        <v>0</v>
      </c>
      <c r="W45" s="371">
        <f t="shared" ref="W45:W63" si="0">+V45/V$64*100</f>
        <v>0</v>
      </c>
      <c r="Y45" s="369">
        <v>1</v>
      </c>
      <c r="Z45" s="370">
        <v>0</v>
      </c>
      <c r="AA45" s="372">
        <f>+Z45/Z$64*100</f>
        <v>0</v>
      </c>
      <c r="AD45" s="369">
        <v>1</v>
      </c>
      <c r="AE45" s="370">
        <v>0</v>
      </c>
      <c r="AF45" s="371">
        <f t="shared" ref="AF45:AF63" si="1">+AE45/AE$64*100</f>
        <v>0</v>
      </c>
      <c r="AH45" s="369">
        <v>1</v>
      </c>
      <c r="AI45" s="370">
        <v>0</v>
      </c>
      <c r="AJ45" s="371">
        <f t="shared" ref="AJ45:AJ63" si="2">+AI45/AI$64*100</f>
        <v>0</v>
      </c>
      <c r="AM45" s="369">
        <v>1</v>
      </c>
      <c r="AN45" s="368">
        <v>4</v>
      </c>
      <c r="AO45" s="371">
        <f t="shared" ref="AO45:AO63" si="3">+AN45/AN$64*100</f>
        <v>5.1282051282051277</v>
      </c>
      <c r="AQ45" s="369">
        <v>1</v>
      </c>
      <c r="AR45" s="368">
        <v>4</v>
      </c>
      <c r="AS45" s="371">
        <f t="shared" ref="AS45:AS63" si="4">+AR45/AR$64*100</f>
        <v>5.7142857142857144</v>
      </c>
      <c r="AU45" s="369">
        <v>1</v>
      </c>
      <c r="AV45" s="368">
        <v>4</v>
      </c>
      <c r="AW45" s="373">
        <f t="shared" ref="AW45:AW63" si="5">+AV45/AV$64*100</f>
        <v>4.2105263157894735</v>
      </c>
      <c r="AY45" s="369">
        <v>1</v>
      </c>
      <c r="AZ45" s="368">
        <v>4</v>
      </c>
      <c r="BA45" s="373">
        <f t="shared" ref="BA45:BA63" si="6">+AZ45/AZ$64*100</f>
        <v>4.5977011494252871</v>
      </c>
    </row>
    <row r="46" spans="2:53" s="111" customFormat="1" ht="16.5" thickBot="1" x14ac:dyDescent="0.3">
      <c r="B46" s="804" t="s">
        <v>319</v>
      </c>
      <c r="C46" s="805"/>
      <c r="D46" s="805"/>
      <c r="E46" s="806"/>
      <c r="F46" s="367">
        <v>1</v>
      </c>
      <c r="O46" s="368">
        <f>+O45+1</f>
        <v>2</v>
      </c>
      <c r="P46" s="368">
        <v>4</v>
      </c>
      <c r="R46" s="340"/>
      <c r="U46" s="369">
        <f>+U45+1</f>
        <v>2</v>
      </c>
      <c r="V46" s="368">
        <v>4</v>
      </c>
      <c r="W46" s="372">
        <f t="shared" si="0"/>
        <v>5.7971014492753623</v>
      </c>
      <c r="Y46" s="369">
        <f>+Y45+1</f>
        <v>2</v>
      </c>
      <c r="Z46" s="370">
        <v>0</v>
      </c>
      <c r="AA46" s="372">
        <f t="shared" ref="AA46:AA63" si="7">+Z46/Z$64*100</f>
        <v>0</v>
      </c>
      <c r="AD46" s="369">
        <f>+AD45+1</f>
        <v>2</v>
      </c>
      <c r="AE46" s="368">
        <v>4</v>
      </c>
      <c r="AF46" s="373">
        <f t="shared" si="1"/>
        <v>4.1666666666666661</v>
      </c>
      <c r="AH46" s="369">
        <f>+AH45+1</f>
        <v>2</v>
      </c>
      <c r="AI46" s="370">
        <v>0</v>
      </c>
      <c r="AJ46" s="371">
        <f t="shared" si="2"/>
        <v>0</v>
      </c>
      <c r="AM46" s="369">
        <f>+AM45+1</f>
        <v>2</v>
      </c>
      <c r="AN46" s="368">
        <v>4</v>
      </c>
      <c r="AO46" s="373">
        <f t="shared" si="3"/>
        <v>5.1282051282051277</v>
      </c>
      <c r="AQ46" s="369">
        <f>+AQ45+1</f>
        <v>2</v>
      </c>
      <c r="AR46" s="370">
        <v>0</v>
      </c>
      <c r="AS46" s="371">
        <f t="shared" si="4"/>
        <v>0</v>
      </c>
      <c r="AU46" s="369">
        <f>+AU45+1</f>
        <v>2</v>
      </c>
      <c r="AV46" s="368">
        <v>4</v>
      </c>
      <c r="AW46" s="373">
        <f t="shared" si="5"/>
        <v>4.2105263157894735</v>
      </c>
      <c r="AY46" s="369">
        <f>+AY45+1</f>
        <v>2</v>
      </c>
      <c r="AZ46" s="370">
        <v>0</v>
      </c>
      <c r="BA46" s="373">
        <f t="shared" si="6"/>
        <v>0</v>
      </c>
    </row>
    <row r="47" spans="2:53" s="111" customFormat="1" ht="15.75" x14ac:dyDescent="0.25">
      <c r="O47" s="368">
        <v>2</v>
      </c>
      <c r="P47" s="368">
        <v>4</v>
      </c>
      <c r="R47" s="340"/>
      <c r="U47" s="369">
        <v>2</v>
      </c>
      <c r="V47" s="368">
        <v>4</v>
      </c>
      <c r="W47" s="372">
        <f t="shared" si="0"/>
        <v>5.7971014492753623</v>
      </c>
      <c r="Y47" s="369">
        <v>2</v>
      </c>
      <c r="Z47" s="370">
        <v>0</v>
      </c>
      <c r="AA47" s="372">
        <f t="shared" si="7"/>
        <v>0</v>
      </c>
      <c r="AD47" s="369">
        <v>2</v>
      </c>
      <c r="AE47" s="368">
        <v>4</v>
      </c>
      <c r="AF47" s="373">
        <f t="shared" si="1"/>
        <v>4.1666666666666661</v>
      </c>
      <c r="AH47" s="369">
        <v>2</v>
      </c>
      <c r="AI47" s="370">
        <v>0</v>
      </c>
      <c r="AJ47" s="371">
        <f t="shared" si="2"/>
        <v>0</v>
      </c>
      <c r="AM47" s="369">
        <v>2</v>
      </c>
      <c r="AN47" s="368">
        <v>4</v>
      </c>
      <c r="AO47" s="373">
        <f t="shared" si="3"/>
        <v>5.1282051282051277</v>
      </c>
      <c r="AQ47" s="369">
        <v>2</v>
      </c>
      <c r="AR47" s="370">
        <v>0</v>
      </c>
      <c r="AS47" s="371">
        <f t="shared" si="4"/>
        <v>0</v>
      </c>
      <c r="AU47" s="369">
        <v>2</v>
      </c>
      <c r="AV47" s="368">
        <v>4</v>
      </c>
      <c r="AW47" s="373">
        <f t="shared" si="5"/>
        <v>4.2105263157894735</v>
      </c>
      <c r="AY47" s="369">
        <v>2</v>
      </c>
      <c r="AZ47" s="370">
        <v>0</v>
      </c>
      <c r="BA47" s="373">
        <f t="shared" si="6"/>
        <v>0</v>
      </c>
    </row>
    <row r="48" spans="2:53" s="111" customFormat="1" ht="15.75" x14ac:dyDescent="0.25">
      <c r="O48" s="368">
        <f>+O47+1</f>
        <v>3</v>
      </c>
      <c r="P48" s="368">
        <v>6</v>
      </c>
      <c r="R48" s="340"/>
      <c r="U48" s="369">
        <f>+U47+1</f>
        <v>3</v>
      </c>
      <c r="V48" s="368">
        <v>6</v>
      </c>
      <c r="W48" s="374">
        <f t="shared" si="0"/>
        <v>8.695652173913043</v>
      </c>
      <c r="Y48" s="369">
        <f>+Y47+1</f>
        <v>3</v>
      </c>
      <c r="Z48" s="368">
        <v>6</v>
      </c>
      <c r="AA48" s="372">
        <f t="shared" si="7"/>
        <v>9.8360655737704921</v>
      </c>
      <c r="AD48" s="369">
        <f>+AD47+1</f>
        <v>3</v>
      </c>
      <c r="AE48" s="368">
        <v>6</v>
      </c>
      <c r="AF48" s="371">
        <f t="shared" si="1"/>
        <v>6.25</v>
      </c>
      <c r="AH48" s="369">
        <f>+AH47+1</f>
        <v>3</v>
      </c>
      <c r="AI48" s="368">
        <v>6</v>
      </c>
      <c r="AJ48" s="371">
        <f t="shared" si="2"/>
        <v>6.8181818181818175</v>
      </c>
      <c r="AM48" s="369">
        <f>+AM47+1</f>
        <v>3</v>
      </c>
      <c r="AN48" s="368">
        <v>6</v>
      </c>
      <c r="AO48" s="371">
        <f t="shared" si="3"/>
        <v>7.6923076923076925</v>
      </c>
      <c r="AQ48" s="369">
        <f>+AQ47+1</f>
        <v>3</v>
      </c>
      <c r="AR48" s="368">
        <v>6</v>
      </c>
      <c r="AS48" s="371">
        <f t="shared" si="4"/>
        <v>8.5714285714285712</v>
      </c>
      <c r="AU48" s="369">
        <f>+AU47+1</f>
        <v>3</v>
      </c>
      <c r="AV48" s="368">
        <v>6</v>
      </c>
      <c r="AW48" s="371">
        <f t="shared" si="5"/>
        <v>6.3157894736842106</v>
      </c>
      <c r="AY48" s="369">
        <f>+AY47+1</f>
        <v>3</v>
      </c>
      <c r="AZ48" s="368">
        <v>6</v>
      </c>
      <c r="BA48" s="371">
        <f t="shared" si="6"/>
        <v>6.8965517241379306</v>
      </c>
    </row>
    <row r="49" spans="3:53" s="111" customFormat="1" ht="15.75" x14ac:dyDescent="0.25">
      <c r="O49" s="368">
        <f>+O48+1</f>
        <v>4</v>
      </c>
      <c r="P49" s="368">
        <v>5</v>
      </c>
      <c r="R49" s="340"/>
      <c r="U49" s="369">
        <f>+U48+1</f>
        <v>4</v>
      </c>
      <c r="V49" s="368">
        <v>5</v>
      </c>
      <c r="W49" s="371">
        <f t="shared" si="0"/>
        <v>7.2463768115942031</v>
      </c>
      <c r="Y49" s="369">
        <f>+Y48+1</f>
        <v>4</v>
      </c>
      <c r="Z49" s="368">
        <v>5</v>
      </c>
      <c r="AA49" s="372">
        <f t="shared" si="7"/>
        <v>8.1967213114754092</v>
      </c>
      <c r="AD49" s="369">
        <f>+AD48+1</f>
        <v>4</v>
      </c>
      <c r="AE49" s="368">
        <v>5</v>
      </c>
      <c r="AF49" s="375">
        <f t="shared" si="1"/>
        <v>5.2083333333333339</v>
      </c>
      <c r="AH49" s="369">
        <f>+AH48+1</f>
        <v>4</v>
      </c>
      <c r="AI49" s="368">
        <v>5</v>
      </c>
      <c r="AJ49" s="371">
        <f t="shared" si="2"/>
        <v>5.6818181818181817</v>
      </c>
      <c r="AM49" s="369">
        <f>+AM48+1</f>
        <v>4</v>
      </c>
      <c r="AN49" s="368">
        <v>5</v>
      </c>
      <c r="AO49" s="375">
        <f t="shared" si="3"/>
        <v>6.4102564102564097</v>
      </c>
      <c r="AQ49" s="369">
        <f>+AQ48+1</f>
        <v>4</v>
      </c>
      <c r="AR49" s="368">
        <v>5</v>
      </c>
      <c r="AS49" s="371">
        <f t="shared" si="4"/>
        <v>7.1428571428571423</v>
      </c>
      <c r="AU49" s="369">
        <f>+AU48+1</f>
        <v>4</v>
      </c>
      <c r="AV49" s="368">
        <v>5</v>
      </c>
      <c r="AW49" s="376">
        <f t="shared" si="5"/>
        <v>5.2631578947368416</v>
      </c>
      <c r="AY49" s="369">
        <f>+AY48+1</f>
        <v>4</v>
      </c>
      <c r="AZ49" s="368">
        <v>5</v>
      </c>
      <c r="BA49" s="371">
        <f t="shared" si="6"/>
        <v>5.7471264367816088</v>
      </c>
    </row>
    <row r="50" spans="3:53" s="111" customFormat="1" ht="15.75" x14ac:dyDescent="0.25">
      <c r="O50" s="368">
        <f>+O49+1</f>
        <v>5</v>
      </c>
      <c r="P50" s="368">
        <v>5</v>
      </c>
      <c r="R50" s="340"/>
      <c r="U50" s="369">
        <f>+U49+1</f>
        <v>5</v>
      </c>
      <c r="V50" s="368">
        <v>5</v>
      </c>
      <c r="W50" s="371">
        <f t="shared" si="0"/>
        <v>7.2463768115942031</v>
      </c>
      <c r="Y50" s="369">
        <f>+Y49+1</f>
        <v>5</v>
      </c>
      <c r="Z50" s="368">
        <v>5</v>
      </c>
      <c r="AA50" s="372">
        <f t="shared" si="7"/>
        <v>8.1967213114754092</v>
      </c>
      <c r="AD50" s="369">
        <f>+AD49+1</f>
        <v>5</v>
      </c>
      <c r="AE50" s="368">
        <v>5</v>
      </c>
      <c r="AF50" s="375">
        <f t="shared" si="1"/>
        <v>5.2083333333333339</v>
      </c>
      <c r="AH50" s="369">
        <f>+AH49+1</f>
        <v>5</v>
      </c>
      <c r="AI50" s="368">
        <v>5</v>
      </c>
      <c r="AJ50" s="371">
        <f t="shared" si="2"/>
        <v>5.6818181818181817</v>
      </c>
      <c r="AM50" s="369">
        <f>+AM49+1</f>
        <v>5</v>
      </c>
      <c r="AN50" s="368">
        <v>5</v>
      </c>
      <c r="AO50" s="375">
        <f t="shared" si="3"/>
        <v>6.4102564102564097</v>
      </c>
      <c r="AQ50" s="369">
        <f>+AQ49+1</f>
        <v>5</v>
      </c>
      <c r="AR50" s="368">
        <v>5</v>
      </c>
      <c r="AS50" s="371">
        <f t="shared" si="4"/>
        <v>7.1428571428571423</v>
      </c>
      <c r="AU50" s="369">
        <f>+AU49+1</f>
        <v>5</v>
      </c>
      <c r="AV50" s="368">
        <v>5</v>
      </c>
      <c r="AW50" s="376">
        <f t="shared" si="5"/>
        <v>5.2631578947368416</v>
      </c>
      <c r="AY50" s="369">
        <f>+AY49+1</f>
        <v>5</v>
      </c>
      <c r="AZ50" s="368">
        <v>5</v>
      </c>
      <c r="BA50" s="371">
        <f t="shared" si="6"/>
        <v>5.7471264367816088</v>
      </c>
    </row>
    <row r="51" spans="3:53" ht="15.75" x14ac:dyDescent="0.25">
      <c r="O51" s="368">
        <f>+O50+1</f>
        <v>6</v>
      </c>
      <c r="P51" s="368">
        <v>6</v>
      </c>
      <c r="U51" s="369">
        <f>+U50+1</f>
        <v>6</v>
      </c>
      <c r="V51" s="368">
        <v>6</v>
      </c>
      <c r="W51" s="374">
        <f t="shared" si="0"/>
        <v>8.695652173913043</v>
      </c>
      <c r="Y51" s="369">
        <f>+Y50+1</f>
        <v>6</v>
      </c>
      <c r="Z51" s="368">
        <v>6</v>
      </c>
      <c r="AA51" s="372">
        <f t="shared" si="7"/>
        <v>9.8360655737704921</v>
      </c>
      <c r="AD51" s="369">
        <f>+AD50+1</f>
        <v>6</v>
      </c>
      <c r="AE51" s="368">
        <v>6</v>
      </c>
      <c r="AF51" s="371">
        <f t="shared" si="1"/>
        <v>6.25</v>
      </c>
      <c r="AH51" s="369">
        <f>+AH50+1</f>
        <v>6</v>
      </c>
      <c r="AI51" s="368">
        <v>6</v>
      </c>
      <c r="AJ51" s="371">
        <f t="shared" si="2"/>
        <v>6.8181818181818175</v>
      </c>
      <c r="AM51" s="369">
        <f>+AM50+1</f>
        <v>6</v>
      </c>
      <c r="AN51" s="368">
        <v>6</v>
      </c>
      <c r="AO51" s="371">
        <f t="shared" si="3"/>
        <v>7.6923076923076925</v>
      </c>
      <c r="AQ51" s="369">
        <f>+AQ50+1</f>
        <v>6</v>
      </c>
      <c r="AR51" s="368">
        <v>6</v>
      </c>
      <c r="AS51" s="371">
        <f t="shared" si="4"/>
        <v>8.5714285714285712</v>
      </c>
      <c r="AU51" s="369">
        <f>+AU50+1</f>
        <v>6</v>
      </c>
      <c r="AV51" s="368">
        <v>6</v>
      </c>
      <c r="AW51" s="371">
        <f t="shared" si="5"/>
        <v>6.3157894736842106</v>
      </c>
      <c r="AY51" s="369">
        <f>+AY50+1</f>
        <v>6</v>
      </c>
      <c r="AZ51" s="368">
        <v>6</v>
      </c>
      <c r="BA51" s="371">
        <f t="shared" si="6"/>
        <v>6.8965517241379306</v>
      </c>
    </row>
    <row r="52" spans="3:53" ht="15.75" x14ac:dyDescent="0.25">
      <c r="O52" s="368">
        <v>6</v>
      </c>
      <c r="P52" s="368">
        <v>6</v>
      </c>
      <c r="U52" s="369">
        <v>6</v>
      </c>
      <c r="V52" s="368">
        <v>6</v>
      </c>
      <c r="W52" s="374">
        <f t="shared" si="0"/>
        <v>8.695652173913043</v>
      </c>
      <c r="Y52" s="369">
        <v>6</v>
      </c>
      <c r="Z52" s="368">
        <v>6</v>
      </c>
      <c r="AA52" s="372">
        <f t="shared" si="7"/>
        <v>9.8360655737704921</v>
      </c>
      <c r="AD52" s="369">
        <v>6</v>
      </c>
      <c r="AE52" s="368">
        <v>6</v>
      </c>
      <c r="AF52" s="371">
        <f t="shared" si="1"/>
        <v>6.25</v>
      </c>
      <c r="AH52" s="369">
        <v>6</v>
      </c>
      <c r="AI52" s="368">
        <v>6</v>
      </c>
      <c r="AJ52" s="371">
        <f t="shared" si="2"/>
        <v>6.8181818181818175</v>
      </c>
      <c r="AM52" s="369">
        <v>6</v>
      </c>
      <c r="AN52" s="368">
        <v>6</v>
      </c>
      <c r="AO52" s="371">
        <f t="shared" si="3"/>
        <v>7.6923076923076925</v>
      </c>
      <c r="AQ52" s="369">
        <v>6</v>
      </c>
      <c r="AR52" s="368">
        <v>6</v>
      </c>
      <c r="AS52" s="371">
        <f t="shared" si="4"/>
        <v>8.5714285714285712</v>
      </c>
      <c r="AU52" s="369">
        <v>6</v>
      </c>
      <c r="AV52" s="368">
        <v>6</v>
      </c>
      <c r="AW52" s="371">
        <f t="shared" si="5"/>
        <v>6.3157894736842106</v>
      </c>
      <c r="AY52" s="369">
        <v>6</v>
      </c>
      <c r="AZ52" s="368">
        <v>6</v>
      </c>
      <c r="BA52" s="371">
        <f t="shared" si="6"/>
        <v>6.8965517241379306</v>
      </c>
    </row>
    <row r="53" spans="3:53" ht="15.75" x14ac:dyDescent="0.25">
      <c r="D53" s="646" t="s">
        <v>473</v>
      </c>
      <c r="E53" s="646">
        <v>4</v>
      </c>
      <c r="F53" s="646">
        <v>24</v>
      </c>
      <c r="O53" s="368">
        <f>+O52+1</f>
        <v>7</v>
      </c>
      <c r="P53" s="368">
        <v>5</v>
      </c>
      <c r="U53" s="369">
        <f>+U52+1</f>
        <v>7</v>
      </c>
      <c r="V53" s="368">
        <v>5</v>
      </c>
      <c r="W53" s="371">
        <f t="shared" si="0"/>
        <v>7.2463768115942031</v>
      </c>
      <c r="Y53" s="369">
        <f>+Y52+1</f>
        <v>7</v>
      </c>
      <c r="Z53" s="368">
        <v>5</v>
      </c>
      <c r="AA53" s="372">
        <f t="shared" si="7"/>
        <v>8.1967213114754092</v>
      </c>
      <c r="AD53" s="369">
        <f>+AD52+1</f>
        <v>7</v>
      </c>
      <c r="AE53" s="368">
        <v>5</v>
      </c>
      <c r="AF53" s="375">
        <f t="shared" si="1"/>
        <v>5.2083333333333339</v>
      </c>
      <c r="AH53" s="369">
        <f>+AH52+1</f>
        <v>7</v>
      </c>
      <c r="AI53" s="368">
        <v>5</v>
      </c>
      <c r="AJ53" s="371">
        <f t="shared" si="2"/>
        <v>5.6818181818181817</v>
      </c>
      <c r="AM53" s="369">
        <f>+AM52+1</f>
        <v>7</v>
      </c>
      <c r="AN53" s="368">
        <v>5</v>
      </c>
      <c r="AO53" s="375">
        <f t="shared" si="3"/>
        <v>6.4102564102564097</v>
      </c>
      <c r="AQ53" s="369">
        <f>+AQ52+1</f>
        <v>7</v>
      </c>
      <c r="AR53" s="368">
        <v>5</v>
      </c>
      <c r="AS53" s="371">
        <f t="shared" si="4"/>
        <v>7.1428571428571423</v>
      </c>
      <c r="AU53" s="369">
        <f>+AU52+1</f>
        <v>7</v>
      </c>
      <c r="AV53" s="368">
        <v>5</v>
      </c>
      <c r="AW53" s="376">
        <f t="shared" si="5"/>
        <v>5.2631578947368416</v>
      </c>
      <c r="AY53" s="369">
        <f>+AY52+1</f>
        <v>7</v>
      </c>
      <c r="AZ53" s="368">
        <v>5</v>
      </c>
      <c r="BA53" s="371">
        <f t="shared" si="6"/>
        <v>5.7471264367816088</v>
      </c>
    </row>
    <row r="54" spans="3:53" ht="15.75" x14ac:dyDescent="0.25">
      <c r="C54" s="646" t="s">
        <v>320</v>
      </c>
      <c r="D54" s="671">
        <v>0.24</v>
      </c>
      <c r="E54" s="761">
        <v>5</v>
      </c>
      <c r="F54" s="761">
        <v>30</v>
      </c>
      <c r="O54" s="368">
        <f>+O53+1</f>
        <v>8</v>
      </c>
      <c r="P54" s="368">
        <v>6</v>
      </c>
      <c r="U54" s="369">
        <f>+U53+1</f>
        <v>8</v>
      </c>
      <c r="V54" s="368">
        <v>6</v>
      </c>
      <c r="W54" s="374">
        <f t="shared" si="0"/>
        <v>8.695652173913043</v>
      </c>
      <c r="Y54" s="369">
        <f>+Y53+1</f>
        <v>8</v>
      </c>
      <c r="Z54" s="368">
        <v>6</v>
      </c>
      <c r="AA54" s="372">
        <f t="shared" si="7"/>
        <v>9.8360655737704921</v>
      </c>
      <c r="AD54" s="369">
        <f>+AD53+1</f>
        <v>8</v>
      </c>
      <c r="AE54" s="368">
        <v>6</v>
      </c>
      <c r="AF54" s="371">
        <f t="shared" si="1"/>
        <v>6.25</v>
      </c>
      <c r="AH54" s="369">
        <f>+AH53+1</f>
        <v>8</v>
      </c>
      <c r="AI54" s="368">
        <v>6</v>
      </c>
      <c r="AJ54" s="371">
        <f t="shared" si="2"/>
        <v>6.8181818181818175</v>
      </c>
      <c r="AM54" s="369">
        <f>+AM53+1</f>
        <v>8</v>
      </c>
      <c r="AN54" s="368">
        <v>6</v>
      </c>
      <c r="AO54" s="371">
        <f t="shared" si="3"/>
        <v>7.6923076923076925</v>
      </c>
      <c r="AQ54" s="369">
        <f>+AQ53+1</f>
        <v>8</v>
      </c>
      <c r="AR54" s="368">
        <v>6</v>
      </c>
      <c r="AS54" s="371">
        <f t="shared" si="4"/>
        <v>8.5714285714285712</v>
      </c>
      <c r="AU54" s="369">
        <f>+AU53+1</f>
        <v>8</v>
      </c>
      <c r="AV54" s="368">
        <v>6</v>
      </c>
      <c r="AW54" s="371">
        <f t="shared" si="5"/>
        <v>6.3157894736842106</v>
      </c>
      <c r="AY54" s="369">
        <f>+AY53+1</f>
        <v>8</v>
      </c>
      <c r="AZ54" s="368">
        <v>6</v>
      </c>
      <c r="BA54" s="371">
        <f t="shared" si="6"/>
        <v>6.8965517241379306</v>
      </c>
    </row>
    <row r="55" spans="3:53" ht="77.25" x14ac:dyDescent="0.25">
      <c r="C55" s="670" t="s">
        <v>321</v>
      </c>
      <c r="E55" s="646">
        <v>6</v>
      </c>
      <c r="F55" s="646">
        <v>40</v>
      </c>
      <c r="O55" s="368">
        <f>+O54+1</f>
        <v>9</v>
      </c>
      <c r="P55" s="368">
        <v>5</v>
      </c>
      <c r="U55" s="369">
        <f>+U54+1</f>
        <v>9</v>
      </c>
      <c r="V55" s="368">
        <v>5</v>
      </c>
      <c r="W55" s="371">
        <f t="shared" si="0"/>
        <v>7.2463768115942031</v>
      </c>
      <c r="Y55" s="369">
        <f>+Y54+1</f>
        <v>9</v>
      </c>
      <c r="Z55" s="368">
        <v>5</v>
      </c>
      <c r="AA55" s="372">
        <f t="shared" si="7"/>
        <v>8.1967213114754092</v>
      </c>
      <c r="AD55" s="369">
        <f>+AD54+1</f>
        <v>9</v>
      </c>
      <c r="AE55" s="368">
        <v>5</v>
      </c>
      <c r="AF55" s="375">
        <f t="shared" si="1"/>
        <v>5.2083333333333339</v>
      </c>
      <c r="AH55" s="369">
        <f>+AH54+1</f>
        <v>9</v>
      </c>
      <c r="AI55" s="368">
        <v>5</v>
      </c>
      <c r="AJ55" s="371">
        <f t="shared" si="2"/>
        <v>5.6818181818181817</v>
      </c>
      <c r="AM55" s="369">
        <f>+AM54+1</f>
        <v>9</v>
      </c>
      <c r="AN55" s="368">
        <v>5</v>
      </c>
      <c r="AO55" s="375">
        <f t="shared" si="3"/>
        <v>6.4102564102564097</v>
      </c>
      <c r="AQ55" s="369">
        <f>+AQ54+1</f>
        <v>9</v>
      </c>
      <c r="AR55" s="368">
        <v>5</v>
      </c>
      <c r="AS55" s="371">
        <f t="shared" si="4"/>
        <v>7.1428571428571423</v>
      </c>
      <c r="AU55" s="369">
        <f>+AU54+1</f>
        <v>9</v>
      </c>
      <c r="AV55" s="368">
        <v>5</v>
      </c>
      <c r="AW55" s="376">
        <f t="shared" si="5"/>
        <v>5.2631578947368416</v>
      </c>
      <c r="AY55" s="369">
        <f>+AY54+1</f>
        <v>9</v>
      </c>
      <c r="AZ55" s="368">
        <v>5</v>
      </c>
      <c r="BA55" s="371">
        <f t="shared" si="6"/>
        <v>5.7471264367816088</v>
      </c>
    </row>
    <row r="56" spans="3:53" ht="15.75" x14ac:dyDescent="0.25">
      <c r="C56" s="762" t="s">
        <v>512</v>
      </c>
      <c r="E56" s="761">
        <v>7</v>
      </c>
      <c r="F56" s="761">
        <v>50</v>
      </c>
      <c r="H56" s="377">
        <v>4</v>
      </c>
      <c r="I56" s="377">
        <v>15</v>
      </c>
      <c r="O56" s="368">
        <f>+O55+1</f>
        <v>10</v>
      </c>
      <c r="P56" s="368">
        <v>6</v>
      </c>
      <c r="U56" s="369">
        <f>+U55+1</f>
        <v>10</v>
      </c>
      <c r="V56" s="368">
        <v>6</v>
      </c>
      <c r="W56" s="374">
        <f t="shared" si="0"/>
        <v>8.695652173913043</v>
      </c>
      <c r="Y56" s="369">
        <f>+Y55+1</f>
        <v>10</v>
      </c>
      <c r="Z56" s="368">
        <v>6</v>
      </c>
      <c r="AA56" s="372">
        <f t="shared" si="7"/>
        <v>9.8360655737704921</v>
      </c>
      <c r="AD56" s="369">
        <f>+AD55+1</f>
        <v>10</v>
      </c>
      <c r="AE56" s="368">
        <v>6</v>
      </c>
      <c r="AF56" s="371">
        <f t="shared" si="1"/>
        <v>6.25</v>
      </c>
      <c r="AH56" s="369">
        <f>+AH55+1</f>
        <v>10</v>
      </c>
      <c r="AI56" s="368">
        <v>6</v>
      </c>
      <c r="AJ56" s="371">
        <f t="shared" si="2"/>
        <v>6.8181818181818175</v>
      </c>
      <c r="AM56" s="369">
        <f>+AM55+1</f>
        <v>10</v>
      </c>
      <c r="AN56" s="368">
        <v>6</v>
      </c>
      <c r="AO56" s="371">
        <f t="shared" si="3"/>
        <v>7.6923076923076925</v>
      </c>
      <c r="AQ56" s="369">
        <f>+AQ55+1</f>
        <v>10</v>
      </c>
      <c r="AR56" s="368">
        <v>6</v>
      </c>
      <c r="AS56" s="371">
        <f t="shared" si="4"/>
        <v>8.5714285714285712</v>
      </c>
      <c r="AU56" s="369">
        <f>+AU55+1</f>
        <v>10</v>
      </c>
      <c r="AV56" s="368">
        <v>6</v>
      </c>
      <c r="AW56" s="371">
        <f t="shared" si="5"/>
        <v>6.3157894736842106</v>
      </c>
      <c r="AY56" s="369">
        <f>+AY55+1</f>
        <v>10</v>
      </c>
      <c r="AZ56" s="368">
        <v>6</v>
      </c>
      <c r="BA56" s="371">
        <f t="shared" si="6"/>
        <v>6.8965517241379306</v>
      </c>
    </row>
    <row r="57" spans="3:53" ht="15.75" x14ac:dyDescent="0.25">
      <c r="C57" t="s">
        <v>322</v>
      </c>
      <c r="E57" s="646">
        <v>8</v>
      </c>
      <c r="F57" s="646">
        <v>60</v>
      </c>
      <c r="H57">
        <v>5</v>
      </c>
      <c r="I57">
        <v>27</v>
      </c>
      <c r="O57" s="368">
        <v>12</v>
      </c>
      <c r="P57" s="368">
        <v>5</v>
      </c>
      <c r="U57" s="369">
        <v>12</v>
      </c>
      <c r="V57" s="370">
        <v>0</v>
      </c>
      <c r="W57" s="371">
        <f t="shared" si="0"/>
        <v>0</v>
      </c>
      <c r="Y57" s="369">
        <v>12</v>
      </c>
      <c r="Z57" s="370">
        <v>0</v>
      </c>
      <c r="AA57" s="372">
        <f t="shared" si="7"/>
        <v>0</v>
      </c>
      <c r="AD57" s="369">
        <v>12</v>
      </c>
      <c r="AE57" s="370">
        <v>5</v>
      </c>
      <c r="AF57" s="375">
        <f t="shared" si="1"/>
        <v>5.2083333333333339</v>
      </c>
      <c r="AH57" s="369">
        <v>12</v>
      </c>
      <c r="AI57" s="370">
        <v>5</v>
      </c>
      <c r="AJ57" s="371">
        <f t="shared" si="2"/>
        <v>5.6818181818181817</v>
      </c>
      <c r="AM57" s="369">
        <v>12</v>
      </c>
      <c r="AN57" s="368">
        <v>5</v>
      </c>
      <c r="AO57" s="375">
        <f t="shared" si="3"/>
        <v>6.4102564102564097</v>
      </c>
      <c r="AQ57" s="369">
        <v>12</v>
      </c>
      <c r="AR57" s="368">
        <v>5</v>
      </c>
      <c r="AS57" s="371">
        <f t="shared" si="4"/>
        <v>7.1428571428571423</v>
      </c>
      <c r="AU57" s="369">
        <v>12</v>
      </c>
      <c r="AV57" s="370"/>
      <c r="AW57" s="371">
        <f t="shared" si="5"/>
        <v>0</v>
      </c>
      <c r="AY57" s="369">
        <v>12</v>
      </c>
      <c r="AZ57" s="370"/>
      <c r="BA57" s="371">
        <f t="shared" si="6"/>
        <v>0</v>
      </c>
    </row>
    <row r="58" spans="3:53" ht="15.75" x14ac:dyDescent="0.25">
      <c r="C58" t="s">
        <v>323</v>
      </c>
      <c r="E58" s="761">
        <v>9</v>
      </c>
      <c r="F58" s="761">
        <v>70</v>
      </c>
      <c r="H58">
        <v>6</v>
      </c>
      <c r="I58">
        <v>39</v>
      </c>
      <c r="O58" s="368">
        <f t="shared" ref="O58:O63" si="8">+O57+1</f>
        <v>13</v>
      </c>
      <c r="P58" s="368">
        <v>6</v>
      </c>
      <c r="U58" s="369">
        <f t="shared" ref="U58:U63" si="9">+U57+1</f>
        <v>13</v>
      </c>
      <c r="V58" s="368">
        <v>6</v>
      </c>
      <c r="W58" s="374">
        <f t="shared" si="0"/>
        <v>8.695652173913043</v>
      </c>
      <c r="Y58" s="369">
        <f t="shared" ref="Y58:Y63" si="10">+Y57+1</f>
        <v>13</v>
      </c>
      <c r="Z58" s="368">
        <v>6</v>
      </c>
      <c r="AA58" s="372">
        <f t="shared" si="7"/>
        <v>9.8360655737704921</v>
      </c>
      <c r="AD58" s="369">
        <f t="shared" ref="AD58:AD63" si="11">+AD57+1</f>
        <v>13</v>
      </c>
      <c r="AE58" s="368">
        <v>6</v>
      </c>
      <c r="AF58" s="371">
        <f t="shared" si="1"/>
        <v>6.25</v>
      </c>
      <c r="AH58" s="369">
        <f t="shared" ref="AH58:AH63" si="12">+AH57+1</f>
        <v>13</v>
      </c>
      <c r="AI58" s="368">
        <v>6</v>
      </c>
      <c r="AJ58" s="371">
        <f t="shared" si="2"/>
        <v>6.8181818181818175</v>
      </c>
      <c r="AM58" s="369">
        <f t="shared" ref="AM58:AM63" si="13">+AM57+1</f>
        <v>13</v>
      </c>
      <c r="AN58" s="368">
        <v>6</v>
      </c>
      <c r="AO58" s="371">
        <f t="shared" si="3"/>
        <v>7.6923076923076925</v>
      </c>
      <c r="AQ58" s="369">
        <f t="shared" ref="AQ58:AQ63" si="14">+AQ57+1</f>
        <v>13</v>
      </c>
      <c r="AR58" s="368">
        <v>6</v>
      </c>
      <c r="AS58" s="371">
        <f t="shared" si="4"/>
        <v>8.5714285714285712</v>
      </c>
      <c r="AU58" s="369">
        <f t="shared" ref="AU58:AU63" si="15">+AU57+1</f>
        <v>13</v>
      </c>
      <c r="AV58" s="368">
        <v>6</v>
      </c>
      <c r="AW58" s="371">
        <f t="shared" si="5"/>
        <v>6.3157894736842106</v>
      </c>
      <c r="AY58" s="369">
        <f t="shared" ref="AY58:AY63" si="16">+AY57+1</f>
        <v>13</v>
      </c>
      <c r="AZ58" s="368">
        <v>6</v>
      </c>
      <c r="BA58" s="371">
        <f t="shared" si="6"/>
        <v>6.8965517241379306</v>
      </c>
    </row>
    <row r="59" spans="3:53" ht="15.75" x14ac:dyDescent="0.25">
      <c r="C59" t="s">
        <v>324</v>
      </c>
      <c r="E59" s="646">
        <v>10</v>
      </c>
      <c r="F59" s="646">
        <v>80</v>
      </c>
      <c r="H59" s="377">
        <v>7</v>
      </c>
      <c r="I59" s="377">
        <v>50</v>
      </c>
      <c r="O59" s="368">
        <f t="shared" si="8"/>
        <v>14</v>
      </c>
      <c r="P59" s="368">
        <v>6</v>
      </c>
      <c r="U59" s="369">
        <f t="shared" si="9"/>
        <v>14</v>
      </c>
      <c r="V59" s="370">
        <v>0</v>
      </c>
      <c r="W59" s="371">
        <f t="shared" si="0"/>
        <v>0</v>
      </c>
      <c r="Y59" s="369">
        <f t="shared" si="10"/>
        <v>14</v>
      </c>
      <c r="Z59" s="370">
        <v>0</v>
      </c>
      <c r="AA59" s="372">
        <f t="shared" si="7"/>
        <v>0</v>
      </c>
      <c r="AD59" s="369">
        <f t="shared" si="11"/>
        <v>14</v>
      </c>
      <c r="AE59" s="370">
        <v>6</v>
      </c>
      <c r="AF59" s="371">
        <f t="shared" si="1"/>
        <v>6.25</v>
      </c>
      <c r="AH59" s="369">
        <f t="shared" si="12"/>
        <v>14</v>
      </c>
      <c r="AI59" s="370">
        <v>6</v>
      </c>
      <c r="AJ59" s="371">
        <f t="shared" si="2"/>
        <v>6.8181818181818175</v>
      </c>
      <c r="AM59" s="369">
        <f t="shared" si="13"/>
        <v>14</v>
      </c>
      <c r="AN59" s="370">
        <v>0</v>
      </c>
      <c r="AO59" s="371">
        <f t="shared" si="3"/>
        <v>0</v>
      </c>
      <c r="AQ59" s="369">
        <f t="shared" si="14"/>
        <v>14</v>
      </c>
      <c r="AR59" s="370">
        <v>0</v>
      </c>
      <c r="AS59" s="371">
        <f t="shared" si="4"/>
        <v>0</v>
      </c>
      <c r="AU59" s="369">
        <f t="shared" si="15"/>
        <v>14</v>
      </c>
      <c r="AV59" s="368">
        <v>6</v>
      </c>
      <c r="AW59" s="371">
        <f t="shared" si="5"/>
        <v>6.3157894736842106</v>
      </c>
      <c r="AY59" s="369">
        <f t="shared" si="16"/>
        <v>14</v>
      </c>
      <c r="AZ59" s="368">
        <v>6</v>
      </c>
      <c r="BA59" s="371">
        <f t="shared" si="6"/>
        <v>6.8965517241379306</v>
      </c>
    </row>
    <row r="60" spans="3:53" ht="15.75" x14ac:dyDescent="0.25">
      <c r="E60" s="646">
        <v>11</v>
      </c>
      <c r="F60" s="646">
        <v>90</v>
      </c>
      <c r="H60">
        <v>8</v>
      </c>
      <c r="I60">
        <v>60</v>
      </c>
      <c r="O60" s="368">
        <f t="shared" si="8"/>
        <v>15</v>
      </c>
      <c r="P60" s="368">
        <v>6</v>
      </c>
      <c r="U60" s="369">
        <f t="shared" si="9"/>
        <v>15</v>
      </c>
      <c r="V60" s="370">
        <v>0</v>
      </c>
      <c r="W60" s="371">
        <f t="shared" si="0"/>
        <v>0</v>
      </c>
      <c r="Y60" s="369">
        <f t="shared" si="10"/>
        <v>15</v>
      </c>
      <c r="Z60" s="370">
        <v>0</v>
      </c>
      <c r="AA60" s="372">
        <f t="shared" si="7"/>
        <v>0</v>
      </c>
      <c r="AD60" s="369">
        <f t="shared" si="11"/>
        <v>15</v>
      </c>
      <c r="AE60" s="370">
        <v>6</v>
      </c>
      <c r="AF60" s="371">
        <f t="shared" si="1"/>
        <v>6.25</v>
      </c>
      <c r="AH60" s="369">
        <f t="shared" si="12"/>
        <v>15</v>
      </c>
      <c r="AI60" s="370">
        <v>6</v>
      </c>
      <c r="AJ60" s="371">
        <f t="shared" si="2"/>
        <v>6.8181818181818175</v>
      </c>
      <c r="AM60" s="369">
        <f t="shared" si="13"/>
        <v>15</v>
      </c>
      <c r="AN60" s="370">
        <v>0</v>
      </c>
      <c r="AO60" s="371">
        <f t="shared" si="3"/>
        <v>0</v>
      </c>
      <c r="AQ60" s="369">
        <f t="shared" si="14"/>
        <v>15</v>
      </c>
      <c r="AR60" s="370">
        <v>0</v>
      </c>
      <c r="AS60" s="371">
        <f t="shared" si="4"/>
        <v>0</v>
      </c>
      <c r="AU60" s="369">
        <f t="shared" si="15"/>
        <v>15</v>
      </c>
      <c r="AV60" s="368">
        <v>6</v>
      </c>
      <c r="AW60" s="371">
        <f t="shared" si="5"/>
        <v>6.3157894736842106</v>
      </c>
      <c r="AY60" s="369">
        <f t="shared" si="16"/>
        <v>15</v>
      </c>
      <c r="AZ60" s="368">
        <v>6</v>
      </c>
      <c r="BA60" s="371">
        <f t="shared" si="6"/>
        <v>6.8965517241379306</v>
      </c>
    </row>
    <row r="61" spans="3:53" ht="15.75" x14ac:dyDescent="0.25">
      <c r="E61" s="761">
        <v>12</v>
      </c>
      <c r="F61" s="761">
        <v>100</v>
      </c>
      <c r="H61" s="377">
        <v>9</v>
      </c>
      <c r="I61" s="377">
        <v>70</v>
      </c>
      <c r="O61" s="368">
        <f t="shared" si="8"/>
        <v>16</v>
      </c>
      <c r="P61" s="368">
        <v>6</v>
      </c>
      <c r="U61" s="369">
        <f t="shared" si="9"/>
        <v>16</v>
      </c>
      <c r="V61" s="370">
        <v>0</v>
      </c>
      <c r="W61" s="371">
        <f t="shared" si="0"/>
        <v>0</v>
      </c>
      <c r="Y61" s="369">
        <f t="shared" si="10"/>
        <v>16</v>
      </c>
      <c r="Z61" s="370">
        <v>0</v>
      </c>
      <c r="AA61" s="372">
        <f t="shared" si="7"/>
        <v>0</v>
      </c>
      <c r="AD61" s="369">
        <f t="shared" si="11"/>
        <v>16</v>
      </c>
      <c r="AE61" s="370">
        <v>6</v>
      </c>
      <c r="AF61" s="371">
        <f t="shared" si="1"/>
        <v>6.25</v>
      </c>
      <c r="AH61" s="369">
        <f t="shared" si="12"/>
        <v>16</v>
      </c>
      <c r="AI61" s="370">
        <v>6</v>
      </c>
      <c r="AJ61" s="371">
        <f t="shared" si="2"/>
        <v>6.8181818181818175</v>
      </c>
      <c r="AM61" s="369">
        <f t="shared" si="13"/>
        <v>16</v>
      </c>
      <c r="AN61" s="370">
        <v>0</v>
      </c>
      <c r="AO61" s="371">
        <f t="shared" si="3"/>
        <v>0</v>
      </c>
      <c r="AQ61" s="369">
        <f t="shared" si="14"/>
        <v>16</v>
      </c>
      <c r="AR61" s="370">
        <v>0</v>
      </c>
      <c r="AS61" s="371">
        <f t="shared" si="4"/>
        <v>0</v>
      </c>
      <c r="AU61" s="369">
        <f t="shared" si="15"/>
        <v>16</v>
      </c>
      <c r="AV61" s="368">
        <v>6</v>
      </c>
      <c r="AW61" s="371">
        <f t="shared" si="5"/>
        <v>6.3157894736842106</v>
      </c>
      <c r="AY61" s="369">
        <f t="shared" si="16"/>
        <v>16</v>
      </c>
      <c r="AZ61" s="368">
        <v>6</v>
      </c>
      <c r="BA61" s="371">
        <f t="shared" si="6"/>
        <v>6.8965517241379306</v>
      </c>
    </row>
    <row r="62" spans="3:53" ht="15.75" x14ac:dyDescent="0.25">
      <c r="C62" t="s">
        <v>320</v>
      </c>
      <c r="H62">
        <v>10</v>
      </c>
      <c r="I62">
        <v>80</v>
      </c>
      <c r="O62" s="368">
        <f t="shared" si="8"/>
        <v>17</v>
      </c>
      <c r="P62" s="368">
        <v>5</v>
      </c>
      <c r="U62" s="369">
        <f t="shared" si="9"/>
        <v>17</v>
      </c>
      <c r="V62" s="368">
        <v>5</v>
      </c>
      <c r="W62" s="371">
        <f t="shared" si="0"/>
        <v>7.2463768115942031</v>
      </c>
      <c r="Y62" s="369">
        <f t="shared" si="10"/>
        <v>17</v>
      </c>
      <c r="Z62" s="368">
        <v>5</v>
      </c>
      <c r="AA62" s="372">
        <f t="shared" si="7"/>
        <v>8.1967213114754092</v>
      </c>
      <c r="AD62" s="369">
        <f t="shared" si="11"/>
        <v>17</v>
      </c>
      <c r="AE62" s="368">
        <v>5</v>
      </c>
      <c r="AF62" s="375">
        <f t="shared" si="1"/>
        <v>5.2083333333333339</v>
      </c>
      <c r="AH62" s="369">
        <f t="shared" si="12"/>
        <v>17</v>
      </c>
      <c r="AI62" s="368">
        <v>5</v>
      </c>
      <c r="AJ62" s="371">
        <f t="shared" si="2"/>
        <v>5.6818181818181817</v>
      </c>
      <c r="AM62" s="369">
        <f t="shared" si="13"/>
        <v>17</v>
      </c>
      <c r="AN62" s="368">
        <v>5</v>
      </c>
      <c r="AO62" s="375">
        <f t="shared" si="3"/>
        <v>6.4102564102564097</v>
      </c>
      <c r="AQ62" s="369">
        <f t="shared" si="14"/>
        <v>17</v>
      </c>
      <c r="AR62" s="368">
        <v>5</v>
      </c>
      <c r="AS62" s="371">
        <f t="shared" si="4"/>
        <v>7.1428571428571423</v>
      </c>
      <c r="AU62" s="369">
        <f t="shared" si="15"/>
        <v>17</v>
      </c>
      <c r="AV62" s="368">
        <v>5</v>
      </c>
      <c r="AW62" s="376">
        <f t="shared" si="5"/>
        <v>5.2631578947368416</v>
      </c>
      <c r="AY62" s="369">
        <f t="shared" si="16"/>
        <v>17</v>
      </c>
      <c r="AZ62" s="368">
        <v>5</v>
      </c>
      <c r="BA62" s="371">
        <f t="shared" si="6"/>
        <v>5.7471264367816088</v>
      </c>
    </row>
    <row r="63" spans="3:53" ht="15.75" x14ac:dyDescent="0.25">
      <c r="C63" t="s">
        <v>321</v>
      </c>
      <c r="H63">
        <v>11</v>
      </c>
      <c r="I63">
        <v>90</v>
      </c>
      <c r="O63" s="368">
        <f t="shared" si="8"/>
        <v>18</v>
      </c>
      <c r="P63" s="368">
        <v>4</v>
      </c>
      <c r="U63" s="369">
        <f t="shared" si="9"/>
        <v>18</v>
      </c>
      <c r="V63" s="370">
        <v>0</v>
      </c>
      <c r="W63" s="371">
        <f t="shared" si="0"/>
        <v>0</v>
      </c>
      <c r="Y63" s="369">
        <f t="shared" si="10"/>
        <v>18</v>
      </c>
      <c r="Z63" s="370">
        <v>0</v>
      </c>
      <c r="AA63" s="372">
        <f t="shared" si="7"/>
        <v>0</v>
      </c>
      <c r="AD63" s="369">
        <f t="shared" si="11"/>
        <v>18</v>
      </c>
      <c r="AE63" s="370">
        <v>4</v>
      </c>
      <c r="AF63" s="373">
        <f t="shared" si="1"/>
        <v>4.1666666666666661</v>
      </c>
      <c r="AH63" s="369">
        <f t="shared" si="12"/>
        <v>18</v>
      </c>
      <c r="AI63" s="370">
        <v>4</v>
      </c>
      <c r="AJ63" s="371">
        <f t="shared" si="2"/>
        <v>4.5454545454545459</v>
      </c>
      <c r="AM63" s="369">
        <f t="shared" si="13"/>
        <v>18</v>
      </c>
      <c r="AN63" s="370">
        <v>0</v>
      </c>
      <c r="AO63" s="373">
        <f t="shared" si="3"/>
        <v>0</v>
      </c>
      <c r="AQ63" s="369">
        <f t="shared" si="14"/>
        <v>18</v>
      </c>
      <c r="AR63" s="370">
        <v>0</v>
      </c>
      <c r="AS63" s="371">
        <f t="shared" si="4"/>
        <v>0</v>
      </c>
      <c r="AU63" s="369">
        <f t="shared" si="15"/>
        <v>18</v>
      </c>
      <c r="AV63" s="368">
        <v>4</v>
      </c>
      <c r="AW63" s="373">
        <f t="shared" si="5"/>
        <v>4.2105263157894735</v>
      </c>
      <c r="AY63" s="369">
        <f t="shared" si="16"/>
        <v>18</v>
      </c>
      <c r="AZ63" s="368">
        <v>4</v>
      </c>
      <c r="BA63" s="373">
        <f t="shared" si="6"/>
        <v>4.5977011494252871</v>
      </c>
    </row>
    <row r="64" spans="3:53" x14ac:dyDescent="0.2">
      <c r="C64" s="762" t="s">
        <v>512</v>
      </c>
      <c r="H64">
        <v>12</v>
      </c>
      <c r="I64">
        <v>100</v>
      </c>
      <c r="O64" s="111"/>
      <c r="P64">
        <f>SUM(P45:P63)</f>
        <v>100</v>
      </c>
      <c r="V64">
        <f>SUM(V45:V63)</f>
        <v>69</v>
      </c>
      <c r="W64" s="336">
        <f>SUM(W45:W63)</f>
        <v>100.00000000000001</v>
      </c>
      <c r="Z64">
        <f>SUM(Z45:Z63)</f>
        <v>61</v>
      </c>
      <c r="AA64" s="337">
        <f>SUM(AA45:AA63)</f>
        <v>100.00000000000001</v>
      </c>
      <c r="AE64">
        <f>SUM(AE45:AE63)</f>
        <v>96</v>
      </c>
      <c r="AF64" s="336">
        <f>SUM(AF45:AF63)</f>
        <v>100</v>
      </c>
      <c r="AI64">
        <f>SUM(AI45:AI63)</f>
        <v>88</v>
      </c>
      <c r="AJ64" s="336">
        <f>SUM(AJ45:AJ63)</f>
        <v>99.999999999999986</v>
      </c>
      <c r="AN64">
        <f>SUM(AN45:AN63)</f>
        <v>78</v>
      </c>
      <c r="AO64" s="336">
        <f>SUM(AO45:AO63)</f>
        <v>100</v>
      </c>
      <c r="AR64">
        <f>SUM(AR45:AR63)</f>
        <v>70</v>
      </c>
      <c r="AS64" s="336">
        <f>SUM(AS45:AS63)</f>
        <v>99.999999999999972</v>
      </c>
      <c r="AV64">
        <f>SUM(AV45:AV63)</f>
        <v>95</v>
      </c>
      <c r="AW64" s="336">
        <f>SUM(AW45:AW63)</f>
        <v>99.999999999999986</v>
      </c>
      <c r="AZ64">
        <f>SUM(AZ45:AZ63)</f>
        <v>87</v>
      </c>
      <c r="BA64" s="336">
        <f>SUM(BA45:BA63)</f>
        <v>100.00000000000001</v>
      </c>
    </row>
    <row r="65" spans="2:5" x14ac:dyDescent="0.2">
      <c r="C65" t="s">
        <v>322</v>
      </c>
    </row>
    <row r="66" spans="2:5" x14ac:dyDescent="0.2">
      <c r="C66" t="s">
        <v>323</v>
      </c>
    </row>
    <row r="67" spans="2:5" x14ac:dyDescent="0.2">
      <c r="B67" s="378"/>
      <c r="C67" t="s">
        <v>324</v>
      </c>
    </row>
    <row r="68" spans="2:5" ht="45" customHeight="1" x14ac:dyDescent="0.2">
      <c r="B68" s="379"/>
      <c r="C68" s="380"/>
      <c r="D68" s="380"/>
      <c r="E68" s="380"/>
    </row>
    <row r="69" spans="2:5" ht="45" customHeight="1" x14ac:dyDescent="0.2"/>
  </sheetData>
  <mergeCells count="39">
    <mergeCell ref="B2:F2"/>
    <mergeCell ref="B4:B8"/>
    <mergeCell ref="C4:C8"/>
    <mergeCell ref="D4:D8"/>
    <mergeCell ref="E4:E8"/>
    <mergeCell ref="F4:F8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A2:H23"/>
  <sheetViews>
    <sheetView zoomScale="70" zoomScaleNormal="70" workbookViewId="0">
      <selection activeCell="H11" sqref="H11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47" customWidth="1"/>
    <col min="7" max="7" width="55.140625" customWidth="1"/>
    <col min="8" max="8" width="25.28515625" customWidth="1"/>
    <col min="9" max="16384" width="11.42578125" hidden="1"/>
  </cols>
  <sheetData>
    <row r="2" spans="2:7" ht="13.5" thickBot="1" x14ac:dyDescent="0.25"/>
    <row r="3" spans="2:7" ht="63.75" customHeight="1" thickBot="1" x14ac:dyDescent="0.25">
      <c r="B3" s="739" t="s">
        <v>304</v>
      </c>
      <c r="C3" s="838" t="s">
        <v>467</v>
      </c>
      <c r="D3" s="839"/>
      <c r="E3" s="740" t="s">
        <v>257</v>
      </c>
      <c r="F3" s="740" t="s">
        <v>466</v>
      </c>
      <c r="G3" s="741" t="s">
        <v>508</v>
      </c>
    </row>
    <row r="4" spans="2:7" ht="45" customHeight="1" thickBot="1" x14ac:dyDescent="0.25">
      <c r="B4" s="645" t="s">
        <v>140</v>
      </c>
      <c r="C4" s="842" t="s">
        <v>159</v>
      </c>
      <c r="D4" s="843"/>
      <c r="E4" s="738">
        <v>100</v>
      </c>
      <c r="F4" s="738">
        <v>100</v>
      </c>
      <c r="G4" s="649">
        <f t="shared" ref="G4:G5" si="0">(F4/E4)*1</f>
        <v>1</v>
      </c>
    </row>
    <row r="5" spans="2:7" ht="45" customHeight="1" thickBot="1" x14ac:dyDescent="0.25">
      <c r="B5" s="639" t="s">
        <v>141</v>
      </c>
      <c r="C5" s="832" t="s">
        <v>160</v>
      </c>
      <c r="D5" s="833"/>
      <c r="E5" s="648">
        <v>100</v>
      </c>
      <c r="F5" s="648">
        <v>100</v>
      </c>
      <c r="G5" s="649">
        <f t="shared" si="0"/>
        <v>1</v>
      </c>
    </row>
    <row r="6" spans="2:7" ht="45" customHeight="1" thickBot="1" x14ac:dyDescent="0.25">
      <c r="B6" s="639" t="s">
        <v>142</v>
      </c>
      <c r="C6" s="832" t="s">
        <v>161</v>
      </c>
      <c r="D6" s="833"/>
      <c r="E6" s="650">
        <f>meta3!AA16</f>
        <v>1.08</v>
      </c>
      <c r="F6" s="650">
        <f>meta3!AB16</f>
        <v>0.4062240425024467</v>
      </c>
      <c r="G6" s="649">
        <f>(F6/E6)*1</f>
        <v>0.37613337268745062</v>
      </c>
    </row>
    <row r="7" spans="2:7" ht="45" customHeight="1" thickBot="1" x14ac:dyDescent="0.25">
      <c r="B7" s="640" t="s">
        <v>143</v>
      </c>
      <c r="C7" s="832" t="s">
        <v>162</v>
      </c>
      <c r="D7" s="834"/>
      <c r="E7" s="650">
        <f>meta4!AM16</f>
        <v>0.90700000000000003</v>
      </c>
      <c r="F7" s="650">
        <f>meta4!AN16</f>
        <v>0.85834311859740053</v>
      </c>
      <c r="G7" s="649">
        <f t="shared" ref="G7:G23" si="1">(F7/E7)*1</f>
        <v>0.94635404476008878</v>
      </c>
    </row>
    <row r="8" spans="2:7" ht="45" customHeight="1" thickBot="1" x14ac:dyDescent="0.25">
      <c r="B8" s="641" t="s">
        <v>144</v>
      </c>
      <c r="C8" s="835" t="s">
        <v>163</v>
      </c>
      <c r="D8" s="834"/>
      <c r="E8" s="650">
        <f>meta5!AB16</f>
        <v>0.16500000000000001</v>
      </c>
      <c r="F8" s="650">
        <f>meta5!AC16</f>
        <v>4.6300362685351946E-2</v>
      </c>
      <c r="G8" s="649">
        <f t="shared" si="1"/>
        <v>0.28060825869910272</v>
      </c>
    </row>
    <row r="9" spans="2:7" ht="45" customHeight="1" thickBot="1" x14ac:dyDescent="0.25">
      <c r="B9" s="642" t="s">
        <v>468</v>
      </c>
      <c r="C9" s="832" t="s">
        <v>470</v>
      </c>
      <c r="D9" s="834"/>
      <c r="E9" s="650">
        <f>meta6.1a!AB16</f>
        <v>0.1119</v>
      </c>
      <c r="F9" s="650">
        <f>meta6.1a!AC16</f>
        <v>4.1294201408116446E-2</v>
      </c>
      <c r="G9" s="649">
        <f t="shared" si="1"/>
        <v>0.36902771589022743</v>
      </c>
    </row>
    <row r="10" spans="2:7" ht="45" customHeight="1" thickBot="1" x14ac:dyDescent="0.25">
      <c r="B10" s="642" t="s">
        <v>469</v>
      </c>
      <c r="C10" s="832" t="s">
        <v>471</v>
      </c>
      <c r="D10" s="834"/>
      <c r="E10" s="650">
        <f>meta6.1b!AB16</f>
        <v>0.1</v>
      </c>
      <c r="F10" s="650">
        <f>meta6.1b!AC16</f>
        <v>2.5631670163276474E-2</v>
      </c>
      <c r="G10" s="649">
        <f t="shared" si="1"/>
        <v>0.25631670163276471</v>
      </c>
    </row>
    <row r="11" spans="2:7" ht="45" customHeight="1" thickBot="1" x14ac:dyDescent="0.25">
      <c r="B11" s="640" t="s">
        <v>146</v>
      </c>
      <c r="C11" s="832" t="s">
        <v>165</v>
      </c>
      <c r="D11" s="834"/>
      <c r="E11" s="650">
        <f>meta6.2!AB16</f>
        <v>0.39</v>
      </c>
      <c r="F11" s="650">
        <f>meta6.2!AC16</f>
        <v>0.12077358824570719</v>
      </c>
      <c r="G11" s="649">
        <f t="shared" si="1"/>
        <v>0.30967586729668511</v>
      </c>
    </row>
    <row r="12" spans="2:7" ht="45" customHeight="1" thickBot="1" x14ac:dyDescent="0.25">
      <c r="B12" s="640" t="s">
        <v>147</v>
      </c>
      <c r="C12" s="832" t="s">
        <v>166</v>
      </c>
      <c r="D12" s="834"/>
      <c r="E12" s="650">
        <f>meta7!AA16</f>
        <v>0.95</v>
      </c>
      <c r="F12" s="650">
        <f>meta7!AB16</f>
        <v>0.35076923076923078</v>
      </c>
      <c r="G12" s="649">
        <f t="shared" si="1"/>
        <v>0.36923076923076925</v>
      </c>
    </row>
    <row r="13" spans="2:7" ht="45" customHeight="1" thickBot="1" x14ac:dyDescent="0.25">
      <c r="B13" s="643" t="s">
        <v>148</v>
      </c>
      <c r="C13" s="841" t="s">
        <v>167</v>
      </c>
      <c r="D13" s="834"/>
      <c r="E13" s="650">
        <f>meta8!AA16</f>
        <v>0.19439999999999999</v>
      </c>
      <c r="F13" s="650">
        <f>meta8!AB16</f>
        <v>4.9933862433862435E-2</v>
      </c>
      <c r="G13" s="649">
        <f t="shared" si="1"/>
        <v>0.25686143227295494</v>
      </c>
    </row>
    <row r="14" spans="2:7" ht="45" customHeight="1" thickBot="1" x14ac:dyDescent="0.25">
      <c r="B14" s="640" t="s">
        <v>149</v>
      </c>
      <c r="C14" s="832" t="s">
        <v>168</v>
      </c>
      <c r="D14" s="834"/>
      <c r="E14" s="650">
        <f>meta9!AB16</f>
        <v>0.46839999999999998</v>
      </c>
      <c r="F14" s="650">
        <f>meta9!AC16</f>
        <v>0.17161660479244009</v>
      </c>
      <c r="G14" s="649">
        <f t="shared" si="1"/>
        <v>0.3663889940060634</v>
      </c>
    </row>
    <row r="15" spans="2:7" ht="45" customHeight="1" thickBot="1" x14ac:dyDescent="0.25">
      <c r="B15" s="640" t="s">
        <v>150</v>
      </c>
      <c r="C15" s="832" t="s">
        <v>169</v>
      </c>
      <c r="D15" s="834"/>
      <c r="E15" s="650">
        <f>meta10a!AB17</f>
        <v>0.23880000000000001</v>
      </c>
      <c r="F15" s="650">
        <f>meta10a!AC17</f>
        <v>0.31939637673520377</v>
      </c>
      <c r="G15" s="649">
        <f t="shared" si="1"/>
        <v>1.3375057652227962</v>
      </c>
    </row>
    <row r="16" spans="2:7" ht="45" customHeight="1" thickBot="1" x14ac:dyDescent="0.25">
      <c r="B16" s="640" t="s">
        <v>151</v>
      </c>
      <c r="C16" s="832" t="s">
        <v>169</v>
      </c>
      <c r="D16" s="834"/>
      <c r="E16" s="650">
        <f>meta10b!AA16</f>
        <v>6</v>
      </c>
      <c r="F16" s="650">
        <f>meta10b!AB16</f>
        <v>1.9302434456928839</v>
      </c>
      <c r="G16" s="649">
        <f t="shared" si="1"/>
        <v>0.32170724094881398</v>
      </c>
    </row>
    <row r="17" spans="2:7" ht="45" customHeight="1" thickBot="1" x14ac:dyDescent="0.25">
      <c r="B17" s="640" t="s">
        <v>152</v>
      </c>
      <c r="C17" s="840" t="s">
        <v>170</v>
      </c>
      <c r="D17" s="834"/>
      <c r="E17" s="650">
        <f>meta12!O8</f>
        <v>0.85</v>
      </c>
      <c r="F17" s="650">
        <f>meta12!P8</f>
        <v>0.9936526549236534</v>
      </c>
      <c r="G17" s="649">
        <f t="shared" si="1"/>
        <v>1.1690031234395923</v>
      </c>
    </row>
    <row r="18" spans="2:7" ht="45" customHeight="1" thickBot="1" x14ac:dyDescent="0.25">
      <c r="B18" s="640" t="s">
        <v>153</v>
      </c>
      <c r="C18" s="832" t="s">
        <v>171</v>
      </c>
      <c r="D18" s="834"/>
      <c r="E18" s="650">
        <f>meta13!AM16</f>
        <v>0.90710000000000002</v>
      </c>
      <c r="F18" s="650">
        <f>meta13!AN16</f>
        <v>0.88516746411483249</v>
      </c>
      <c r="G18" s="649">
        <f t="shared" si="1"/>
        <v>0.97582125908370909</v>
      </c>
    </row>
    <row r="19" spans="2:7" ht="45" customHeight="1" thickBot="1" x14ac:dyDescent="0.25">
      <c r="B19" s="640" t="s">
        <v>154</v>
      </c>
      <c r="C19" s="840" t="s">
        <v>172</v>
      </c>
      <c r="D19" s="834"/>
      <c r="E19" s="650">
        <f>meta14!O16</f>
        <v>0.2344</v>
      </c>
      <c r="F19" s="650">
        <f>meta14!P16</f>
        <v>0.21619821499933395</v>
      </c>
      <c r="G19" s="649">
        <f t="shared" si="1"/>
        <v>0.92234733361490595</v>
      </c>
    </row>
    <row r="20" spans="2:7" ht="45" customHeight="1" thickBot="1" x14ac:dyDescent="0.25">
      <c r="B20" s="640" t="s">
        <v>155</v>
      </c>
      <c r="C20" s="832" t="s">
        <v>173</v>
      </c>
      <c r="D20" s="834"/>
      <c r="E20" s="650">
        <f>meta15!O16</f>
        <v>0.55289999999999995</v>
      </c>
      <c r="F20" s="650">
        <f>meta15!P16</f>
        <v>0.53592918805904721</v>
      </c>
      <c r="G20" s="649">
        <f t="shared" si="1"/>
        <v>0.96930582032745027</v>
      </c>
    </row>
    <row r="21" spans="2:7" ht="45" customHeight="1" thickBot="1" x14ac:dyDescent="0.25">
      <c r="B21" s="640" t="s">
        <v>156</v>
      </c>
      <c r="C21" s="832" t="s">
        <v>174</v>
      </c>
      <c r="D21" s="834"/>
      <c r="E21" s="650">
        <f>meta16!O16</f>
        <v>0.5423</v>
      </c>
      <c r="F21" s="650">
        <f>meta16!P16</f>
        <v>0.51480120685569375</v>
      </c>
      <c r="G21" s="649">
        <f t="shared" si="1"/>
        <v>0.9492922862911557</v>
      </c>
    </row>
    <row r="22" spans="2:7" ht="45" customHeight="1" thickBot="1" x14ac:dyDescent="0.25">
      <c r="B22" s="640" t="s">
        <v>157</v>
      </c>
      <c r="C22" s="832" t="s">
        <v>175</v>
      </c>
      <c r="D22" s="834"/>
      <c r="E22" s="650">
        <f>meta17!AB16</f>
        <v>0.95</v>
      </c>
      <c r="F22" s="650">
        <f>meta17!AC16</f>
        <v>0.37169230769230771</v>
      </c>
      <c r="G22" s="649">
        <f t="shared" si="1"/>
        <v>0.391255060728745</v>
      </c>
    </row>
    <row r="23" spans="2:7" ht="45" customHeight="1" thickBot="1" x14ac:dyDescent="0.25">
      <c r="B23" s="644" t="s">
        <v>158</v>
      </c>
      <c r="C23" s="836" t="s">
        <v>176</v>
      </c>
      <c r="D23" s="837"/>
      <c r="E23" s="650">
        <f>meta18!O16</f>
        <v>0.65900000000000003</v>
      </c>
      <c r="F23" s="650">
        <f>meta18!P16</f>
        <v>0.73819055244195353</v>
      </c>
      <c r="G23" s="649">
        <f t="shared" si="1"/>
        <v>1.1201677578785334</v>
      </c>
    </row>
  </sheetData>
  <mergeCells count="21"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  <mergeCell ref="C5:D5"/>
    <mergeCell ref="C6:D6"/>
    <mergeCell ref="C7:D7"/>
    <mergeCell ref="C8:D8"/>
    <mergeCell ref="C9:D9"/>
  </mergeCells>
  <phoneticPr fontId="64" type="noConversion"/>
  <conditionalFormatting sqref="G4:G23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topLeftCell="A6"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44" t="s">
        <v>0</v>
      </c>
      <c r="H1" s="844"/>
      <c r="I1" s="844"/>
      <c r="J1" s="844"/>
      <c r="K1" s="844"/>
      <c r="L1" s="844"/>
      <c r="M1" s="844"/>
      <c r="N1" s="844"/>
    </row>
    <row r="2" spans="1:18" s="2" customFormat="1" ht="28.5" x14ac:dyDescent="0.45">
      <c r="E2" s="3"/>
      <c r="F2" s="3"/>
      <c r="G2" s="845" t="s">
        <v>2</v>
      </c>
      <c r="H2" s="846"/>
      <c r="I2" s="846"/>
      <c r="J2" s="846"/>
      <c r="K2" s="847" t="str">
        <f>+NOMBRE!B7</f>
        <v>ENERO - MAYO 2024</v>
      </c>
      <c r="L2" s="847"/>
      <c r="M2" s="847"/>
      <c r="N2" s="847"/>
    </row>
    <row r="3" spans="1:18" ht="3" customHeight="1" thickBot="1" x14ac:dyDescent="0.3"/>
    <row r="4" spans="1:18" ht="15" customHeight="1" x14ac:dyDescent="0.25">
      <c r="H4" s="848" t="s">
        <v>3</v>
      </c>
      <c r="I4" s="849"/>
      <c r="J4" s="849"/>
      <c r="K4" s="849"/>
      <c r="L4" s="849"/>
      <c r="M4" s="849"/>
      <c r="N4" s="850"/>
    </row>
    <row r="5" spans="1:18" ht="39.75" customHeight="1" thickBot="1" x14ac:dyDescent="0.3">
      <c r="H5" s="851"/>
      <c r="I5" s="852"/>
      <c r="J5" s="852"/>
      <c r="K5" s="852"/>
      <c r="L5" s="852"/>
      <c r="M5" s="852"/>
      <c r="N5" s="853"/>
    </row>
    <row r="6" spans="1:18" ht="16.5" customHeight="1" thickBot="1" x14ac:dyDescent="0.3">
      <c r="H6" s="7" t="s">
        <v>4</v>
      </c>
      <c r="I6" s="8" t="s">
        <v>5</v>
      </c>
      <c r="J6" s="854" t="s">
        <v>6</v>
      </c>
      <c r="K6" s="856">
        <f>+NOMBRE!$B$9</f>
        <v>2024</v>
      </c>
      <c r="L6" s="857"/>
      <c r="M6" s="858" t="s">
        <v>7</v>
      </c>
      <c r="N6" s="859"/>
    </row>
    <row r="7" spans="1:18" ht="72.75" customHeight="1" thickBot="1" x14ac:dyDescent="0.3">
      <c r="G7" s="9" t="s">
        <v>8</v>
      </c>
      <c r="H7" s="10" t="s">
        <v>9</v>
      </c>
      <c r="I7" s="11" t="s">
        <v>10</v>
      </c>
      <c r="J7" s="855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" customHeight="1" x14ac:dyDescent="0.3">
      <c r="A8"/>
      <c r="B8"/>
      <c r="C8" s="15"/>
      <c r="D8" s="15"/>
      <c r="G8" s="19" t="s">
        <v>15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20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37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44" t="s">
        <v>0</v>
      </c>
      <c r="H1" s="844"/>
      <c r="I1" s="844"/>
      <c r="J1" s="844"/>
      <c r="K1" s="844"/>
      <c r="L1" s="844"/>
      <c r="M1" s="844"/>
      <c r="N1" s="844"/>
    </row>
    <row r="2" spans="1:18" s="2" customFormat="1" ht="28.5" x14ac:dyDescent="0.45">
      <c r="E2" s="3"/>
      <c r="F2" s="3"/>
      <c r="G2" s="845" t="s">
        <v>2</v>
      </c>
      <c r="H2" s="846"/>
      <c r="I2" s="846"/>
      <c r="J2" s="846"/>
      <c r="K2" s="847" t="str">
        <f>+NOMBRE!B7</f>
        <v>ENERO - MAYO 2024</v>
      </c>
      <c r="L2" s="847"/>
      <c r="M2" s="847"/>
      <c r="N2" s="847"/>
    </row>
    <row r="3" spans="1:18" ht="3" customHeight="1" thickBot="1" x14ac:dyDescent="0.3"/>
    <row r="4" spans="1:18" ht="15" customHeight="1" x14ac:dyDescent="0.25">
      <c r="H4" s="848" t="s">
        <v>38</v>
      </c>
      <c r="I4" s="849"/>
      <c r="J4" s="849"/>
      <c r="K4" s="849"/>
      <c r="L4" s="849"/>
      <c r="M4" s="849"/>
      <c r="N4" s="850"/>
    </row>
    <row r="5" spans="1:18" ht="15.75" thickBot="1" x14ac:dyDescent="0.3">
      <c r="H5" s="851"/>
      <c r="I5" s="852"/>
      <c r="J5" s="852"/>
      <c r="K5" s="852"/>
      <c r="L5" s="852"/>
      <c r="M5" s="852"/>
      <c r="N5" s="853"/>
    </row>
    <row r="6" spans="1:18" ht="16.5" customHeight="1" thickBot="1" x14ac:dyDescent="0.3">
      <c r="H6" s="7" t="s">
        <v>4</v>
      </c>
      <c r="I6" s="8" t="s">
        <v>5</v>
      </c>
      <c r="J6" s="854" t="s">
        <v>6</v>
      </c>
      <c r="K6" s="856">
        <f>+NOMBRE!$B$9</f>
        <v>2024</v>
      </c>
      <c r="L6" s="857"/>
      <c r="M6" s="858" t="s">
        <v>7</v>
      </c>
      <c r="N6" s="859"/>
    </row>
    <row r="7" spans="1:18" ht="79.5" thickBot="1" x14ac:dyDescent="0.3">
      <c r="G7" s="9" t="s">
        <v>8</v>
      </c>
      <c r="H7" s="10" t="s">
        <v>39</v>
      </c>
      <c r="I7" s="11" t="s">
        <v>40</v>
      </c>
      <c r="J7" s="855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.75" customHeight="1" thickBot="1" x14ac:dyDescent="0.35">
      <c r="A8"/>
      <c r="B8"/>
      <c r="C8" s="15"/>
      <c r="D8" s="15"/>
      <c r="G8" s="19" t="s">
        <v>15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20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21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22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23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24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25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26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27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28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29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30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31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32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33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34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35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36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37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00B050"/>
  </sheetPr>
  <dimension ref="A1:AL38"/>
  <sheetViews>
    <sheetView zoomScale="60" zoomScaleNormal="60" workbookViewId="0">
      <selection activeCell="Z27" sqref="Z2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2" width="9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9.8554687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8" width="12.7109375" style="57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3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56"/>
      <c r="AB1" s="56"/>
      <c r="AF1" s="56"/>
      <c r="AK1" s="3"/>
      <c r="AL1" s="3"/>
    </row>
    <row r="2" spans="1:38" s="2" customFormat="1" ht="28.5" x14ac:dyDescent="0.45">
      <c r="E2" s="3"/>
      <c r="F2" s="3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7" t="str">
        <f>+NOMBRE!B7</f>
        <v>ENERO - MAYO 2024</v>
      </c>
      <c r="X2" s="847"/>
      <c r="Y2" s="847"/>
      <c r="Z2" s="847"/>
      <c r="AA2" s="428" t="s">
        <v>46</v>
      </c>
      <c r="AB2" s="758">
        <v>5</v>
      </c>
      <c r="AF2" s="56"/>
      <c r="AK2" s="3"/>
      <c r="AL2" s="3"/>
    </row>
    <row r="3" spans="1:38" ht="27.75" customHeight="1" thickBot="1" x14ac:dyDescent="0.3">
      <c r="AE3" s="737"/>
    </row>
    <row r="4" spans="1:38" ht="15" customHeight="1" x14ac:dyDescent="0.25">
      <c r="G4" s="58"/>
      <c r="H4" s="863" t="s">
        <v>526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49"/>
      <c r="V4" s="849"/>
      <c r="W4" s="849"/>
      <c r="X4" s="849"/>
      <c r="Y4" s="849"/>
      <c r="Z4" s="850"/>
      <c r="AA4" s="5"/>
      <c r="AB4" s="5"/>
      <c r="AD4" s="6"/>
      <c r="AF4" s="5"/>
      <c r="AG4" s="428" t="s">
        <v>45</v>
      </c>
      <c r="AH4" s="89">
        <v>12</v>
      </c>
      <c r="AI4" s="6"/>
      <c r="AJ4" s="6"/>
      <c r="AK4" s="5"/>
    </row>
    <row r="5" spans="1:38" ht="32.25" customHeight="1" thickBot="1" x14ac:dyDescent="0.3">
      <c r="G5" s="58"/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5"/>
      <c r="AA5" s="5"/>
      <c r="AB5" s="5"/>
      <c r="AD5" s="6"/>
      <c r="AF5" s="5"/>
      <c r="AG5" s="428" t="s">
        <v>46</v>
      </c>
      <c r="AH5" s="89">
        <f>AB2</f>
        <v>5</v>
      </c>
      <c r="AI5" s="6"/>
      <c r="AK5" s="5"/>
    </row>
    <row r="6" spans="1:38" ht="84.75" customHeight="1" thickBot="1" x14ac:dyDescent="0.3">
      <c r="G6" s="59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4"/>
      <c r="U6" s="61" t="s">
        <v>5</v>
      </c>
      <c r="V6" s="866" t="s">
        <v>6</v>
      </c>
      <c r="W6" s="868">
        <f>+NOMBRE!$B$9</f>
        <v>2024</v>
      </c>
      <c r="X6" s="869"/>
      <c r="Y6" s="870" t="s">
        <v>7</v>
      </c>
      <c r="Z6" s="871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75.75" customHeight="1" thickBot="1" x14ac:dyDescent="0.3">
      <c r="G7" s="609" t="s">
        <v>438</v>
      </c>
      <c r="H7" s="860" t="s">
        <v>465</v>
      </c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2"/>
      <c r="T7" s="875" t="s">
        <v>201</v>
      </c>
      <c r="U7" s="11" t="s">
        <v>42</v>
      </c>
      <c r="V7" s="867"/>
      <c r="W7" s="12" t="s">
        <v>11</v>
      </c>
      <c r="X7" s="12" t="s">
        <v>472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38" ht="15" customHeight="1" thickBot="1" x14ac:dyDescent="0.3">
      <c r="A8"/>
      <c r="B8"/>
      <c r="C8" s="64"/>
      <c r="D8" s="65"/>
      <c r="E8" s="66"/>
      <c r="F8" s="62" t="s">
        <v>93</v>
      </c>
      <c r="G8" s="62" t="s">
        <v>94</v>
      </c>
      <c r="H8" s="467" t="s">
        <v>189</v>
      </c>
      <c r="I8" s="468" t="s">
        <v>190</v>
      </c>
      <c r="J8" s="468" t="s">
        <v>191</v>
      </c>
      <c r="K8" s="468" t="s">
        <v>192</v>
      </c>
      <c r="L8" s="468" t="s">
        <v>193</v>
      </c>
      <c r="M8" s="468" t="s">
        <v>194</v>
      </c>
      <c r="N8" s="468" t="s">
        <v>195</v>
      </c>
      <c r="O8" s="468" t="s">
        <v>196</v>
      </c>
      <c r="P8" s="468" t="s">
        <v>428</v>
      </c>
      <c r="Q8" s="468" t="s">
        <v>198</v>
      </c>
      <c r="R8" s="468" t="s">
        <v>199</v>
      </c>
      <c r="S8" s="469" t="s">
        <v>200</v>
      </c>
      <c r="T8" s="876"/>
      <c r="U8" s="542"/>
      <c r="V8" s="87"/>
      <c r="W8" s="682">
        <f>indicadores!E16</f>
        <v>1.08</v>
      </c>
      <c r="X8" s="486">
        <f>indicadores!$D$54</f>
        <v>0.24</v>
      </c>
      <c r="Y8" s="514"/>
      <c r="Z8" s="514"/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38" ht="17.25" x14ac:dyDescent="0.3">
      <c r="A9"/>
      <c r="B9"/>
      <c r="C9" s="64"/>
      <c r="D9" s="65"/>
      <c r="E9" s="66"/>
      <c r="F9" s="433">
        <v>107307</v>
      </c>
      <c r="G9" s="19" t="s">
        <v>439</v>
      </c>
      <c r="H9" s="466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0</v>
      </c>
      <c r="N9" s="74">
        <f>+REMB!DE6</f>
        <v>0</v>
      </c>
      <c r="O9" s="74">
        <f>+REMB!DF6</f>
        <v>0</v>
      </c>
      <c r="P9" s="74">
        <f>+REMB!DG6</f>
        <v>0</v>
      </c>
      <c r="Q9" s="74">
        <f>+REMB!DH6</f>
        <v>0</v>
      </c>
      <c r="R9" s="74">
        <f>+REMB!DI6</f>
        <v>0</v>
      </c>
      <c r="S9" s="74">
        <f>+REMB!DJ6</f>
        <v>0</v>
      </c>
      <c r="T9" s="426">
        <f>SUM(H9:S9)</f>
        <v>12435</v>
      </c>
      <c r="U9" s="80">
        <f>Poblacion2024!E6</f>
        <v>37740.906000000003</v>
      </c>
      <c r="V9" s="592">
        <f>+T9/U9</f>
        <v>0.3294833462662502</v>
      </c>
      <c r="W9" s="593">
        <f>$W$8</f>
        <v>1.08</v>
      </c>
      <c r="X9" s="76">
        <f>+W9*$X$8</f>
        <v>0.25919999999999999</v>
      </c>
      <c r="Y9" s="77">
        <f>IF(+V9/X9&gt;=1,1,+V9/X9)</f>
        <v>1</v>
      </c>
      <c r="Z9" s="77">
        <f t="shared" ref="Z9:Z16" si="0">+Y9*6.25/100</f>
        <v>6.25E-2</v>
      </c>
      <c r="AA9" s="95">
        <f>W9</f>
        <v>1.08</v>
      </c>
      <c r="AB9" s="95">
        <f>(AF9/AD9)</f>
        <v>0.3294833462662502</v>
      </c>
      <c r="AC9" s="429">
        <f>AB9/AA9</f>
        <v>0.30507717246875016</v>
      </c>
      <c r="AD9" s="97">
        <f>U9</f>
        <v>37740.906000000003</v>
      </c>
      <c r="AE9" s="98">
        <f>AD9*AA9</f>
        <v>40760.178480000002</v>
      </c>
      <c r="AF9" s="97">
        <f>T9</f>
        <v>12435</v>
      </c>
      <c r="AG9" s="98">
        <f>AE9/$AH$4</f>
        <v>3396.68154</v>
      </c>
      <c r="AH9" s="98">
        <f>AG9*$AH$5</f>
        <v>16983.4077</v>
      </c>
      <c r="AI9" s="98">
        <f>T9</f>
        <v>12435</v>
      </c>
      <c r="AJ9" s="430">
        <f>AI9/AH9</f>
        <v>0.73218521392500047</v>
      </c>
      <c r="AK9" s="431">
        <f>(AH9-AI9)*-1</f>
        <v>-4548.4076999999997</v>
      </c>
    </row>
    <row r="10" spans="1:38" ht="17.25" x14ac:dyDescent="0.3">
      <c r="A10"/>
      <c r="B10"/>
      <c r="C10" s="64"/>
      <c r="D10" s="65"/>
      <c r="E10" s="66"/>
      <c r="F10" s="434">
        <v>107308</v>
      </c>
      <c r="G10" s="19" t="s">
        <v>440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0</v>
      </c>
      <c r="N10" s="74">
        <f>+REMB!DE7</f>
        <v>0</v>
      </c>
      <c r="O10" s="74">
        <f>+REMB!DF7</f>
        <v>0</v>
      </c>
      <c r="P10" s="74">
        <f>+REMB!DG7</f>
        <v>0</v>
      </c>
      <c r="Q10" s="74">
        <f>+REMB!DH7</f>
        <v>0</v>
      </c>
      <c r="R10" s="74">
        <f>+REMB!DI7</f>
        <v>0</v>
      </c>
      <c r="S10" s="74">
        <f>+REMB!DJ7</f>
        <v>0</v>
      </c>
      <c r="T10" s="425">
        <f t="shared" ref="T10:T15" si="1">SUM(H10:S10)</f>
        <v>7865</v>
      </c>
      <c r="U10" s="74">
        <f>Poblacion2024!E7</f>
        <v>23185</v>
      </c>
      <c r="V10" s="75">
        <f t="shared" ref="V10:V15" si="2">+T10/U10</f>
        <v>0.3392279491050248</v>
      </c>
      <c r="W10" s="593">
        <f t="shared" ref="W10:W16" si="3">$W$8</f>
        <v>1.08</v>
      </c>
      <c r="X10" s="76">
        <f t="shared" ref="X10:X16" si="4">+W10*$X$8</f>
        <v>0.25919999999999999</v>
      </c>
      <c r="Y10" s="77">
        <f>IF(+V10/X10&gt;=1,1,+V10/X10)</f>
        <v>1</v>
      </c>
      <c r="Z10" s="77">
        <f t="shared" si="0"/>
        <v>6.25E-2</v>
      </c>
      <c r="AA10" s="95">
        <f t="shared" ref="AA10:AA16" si="5">W10</f>
        <v>1.08</v>
      </c>
      <c r="AB10" s="95">
        <f t="shared" ref="AB10:AB16" si="6">(AF10/AD10)</f>
        <v>0.3392279491050248</v>
      </c>
      <c r="AC10" s="429">
        <f t="shared" ref="AC10:AC16" si="7">AB10/AA10</f>
        <v>0.31409995287502296</v>
      </c>
      <c r="AD10" s="97">
        <f t="shared" ref="AD10:AD16" si="8">U10</f>
        <v>23185</v>
      </c>
      <c r="AE10" s="98">
        <f t="shared" ref="AE10:AE16" si="9">AD10*AA10</f>
        <v>25039.800000000003</v>
      </c>
      <c r="AF10" s="97">
        <f t="shared" ref="AF10:AF16" si="10">T10</f>
        <v>7865</v>
      </c>
      <c r="AG10" s="98">
        <f t="shared" ref="AG10:AG16" si="11">AE10/$AH$4</f>
        <v>2086.65</v>
      </c>
      <c r="AH10" s="98">
        <f t="shared" ref="AH10:AH16" si="12">AG10*$AH$5</f>
        <v>10433.25</v>
      </c>
      <c r="AI10" s="98">
        <f t="shared" ref="AI10:AI16" si="13">T10</f>
        <v>7865</v>
      </c>
      <c r="AJ10" s="430">
        <f t="shared" ref="AJ10:AJ16" si="14">AI10/AH10</f>
        <v>0.7538398869000551</v>
      </c>
      <c r="AK10" s="431">
        <f t="shared" ref="AK10:AK16" si="15">(AH10-AI10)*-1</f>
        <v>-2568.25</v>
      </c>
    </row>
    <row r="11" spans="1:38" ht="17.25" x14ac:dyDescent="0.3">
      <c r="A11"/>
      <c r="B11"/>
      <c r="C11" s="64"/>
      <c r="D11" s="65"/>
      <c r="E11" s="66"/>
      <c r="F11" s="434">
        <v>107353</v>
      </c>
      <c r="G11" s="19" t="s">
        <v>441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0</v>
      </c>
      <c r="N11" s="74">
        <f>+REMB!DE8</f>
        <v>0</v>
      </c>
      <c r="O11" s="74">
        <f>+REMB!DF8</f>
        <v>0</v>
      </c>
      <c r="P11" s="74">
        <f>+REMB!DG8</f>
        <v>0</v>
      </c>
      <c r="Q11" s="74">
        <f>+REMB!DH8</f>
        <v>0</v>
      </c>
      <c r="R11" s="74">
        <f>+REMB!DI8</f>
        <v>0</v>
      </c>
      <c r="S11" s="74">
        <f>+REMB!DJ8</f>
        <v>0</v>
      </c>
      <c r="T11" s="425">
        <f t="shared" si="1"/>
        <v>8362</v>
      </c>
      <c r="U11" s="74">
        <f>Poblacion2024!E8</f>
        <v>18288</v>
      </c>
      <c r="V11" s="75">
        <f t="shared" si="2"/>
        <v>0.45723972003499563</v>
      </c>
      <c r="W11" s="593">
        <f t="shared" si="3"/>
        <v>1.08</v>
      </c>
      <c r="X11" s="76">
        <f t="shared" si="4"/>
        <v>0.25919999999999999</v>
      </c>
      <c r="Y11" s="77">
        <f t="shared" ref="Y11:Y16" si="16">IF(+V11/X11&gt;=1,1,+V11/X11)</f>
        <v>1</v>
      </c>
      <c r="Z11" s="77">
        <f t="shared" si="0"/>
        <v>6.25E-2</v>
      </c>
      <c r="AA11" s="95">
        <f t="shared" si="5"/>
        <v>1.08</v>
      </c>
      <c r="AB11" s="95">
        <f t="shared" si="6"/>
        <v>0.45723972003499563</v>
      </c>
      <c r="AC11" s="429">
        <f t="shared" si="7"/>
        <v>0.42337011114351447</v>
      </c>
      <c r="AD11" s="97">
        <f t="shared" si="8"/>
        <v>18288</v>
      </c>
      <c r="AE11" s="98">
        <f t="shared" si="9"/>
        <v>19751.04</v>
      </c>
      <c r="AF11" s="97">
        <f t="shared" si="10"/>
        <v>8362</v>
      </c>
      <c r="AG11" s="98">
        <f t="shared" si="11"/>
        <v>1645.92</v>
      </c>
      <c r="AH11" s="98">
        <f t="shared" si="12"/>
        <v>8229.6</v>
      </c>
      <c r="AI11" s="98">
        <f t="shared" si="13"/>
        <v>8362</v>
      </c>
      <c r="AJ11" s="430">
        <f t="shared" si="14"/>
        <v>1.0160882667444346</v>
      </c>
      <c r="AK11" s="431">
        <f t="shared" si="15"/>
        <v>132.39999999999964</v>
      </c>
    </row>
    <row r="12" spans="1:38" ht="17.25" x14ac:dyDescent="0.3">
      <c r="A12"/>
      <c r="B12"/>
      <c r="C12" s="64"/>
      <c r="D12" s="65"/>
      <c r="E12" s="66"/>
      <c r="F12" s="434">
        <v>107356</v>
      </c>
      <c r="G12" s="19" t="s">
        <v>442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0</v>
      </c>
      <c r="N12" s="74">
        <f>+REMB!DE9</f>
        <v>0</v>
      </c>
      <c r="O12" s="74">
        <f>+REMB!DF9</f>
        <v>0</v>
      </c>
      <c r="P12" s="74">
        <f>+REMB!DG9</f>
        <v>0</v>
      </c>
      <c r="Q12" s="74">
        <f>+REMB!DH9</f>
        <v>0</v>
      </c>
      <c r="R12" s="74">
        <f>+REMB!DI9</f>
        <v>0</v>
      </c>
      <c r="S12" s="74">
        <f>+REMB!DJ9</f>
        <v>0</v>
      </c>
      <c r="T12" s="425">
        <f t="shared" si="1"/>
        <v>7663</v>
      </c>
      <c r="U12" s="74">
        <f>Poblacion2024!E9</f>
        <v>18492.717600000004</v>
      </c>
      <c r="V12" s="75">
        <f t="shared" si="2"/>
        <v>0.41437933384112235</v>
      </c>
      <c r="W12" s="593">
        <f t="shared" si="3"/>
        <v>1.08</v>
      </c>
      <c r="X12" s="76">
        <f t="shared" si="4"/>
        <v>0.25919999999999999</v>
      </c>
      <c r="Y12" s="77">
        <f t="shared" si="16"/>
        <v>1</v>
      </c>
      <c r="Z12" s="77">
        <f t="shared" si="0"/>
        <v>6.25E-2</v>
      </c>
      <c r="AA12" s="95">
        <f t="shared" si="5"/>
        <v>1.08</v>
      </c>
      <c r="AB12" s="95">
        <f t="shared" si="6"/>
        <v>0.41437933384112235</v>
      </c>
      <c r="AC12" s="429">
        <f t="shared" si="7"/>
        <v>0.38368456837140957</v>
      </c>
      <c r="AD12" s="97">
        <f t="shared" si="8"/>
        <v>18492.717600000004</v>
      </c>
      <c r="AE12" s="98">
        <f t="shared" si="9"/>
        <v>19972.135008000005</v>
      </c>
      <c r="AF12" s="97">
        <f t="shared" si="10"/>
        <v>7663</v>
      </c>
      <c r="AG12" s="98">
        <f t="shared" si="11"/>
        <v>1664.3445840000004</v>
      </c>
      <c r="AH12" s="98">
        <f t="shared" si="12"/>
        <v>8321.722920000002</v>
      </c>
      <c r="AI12" s="98">
        <f t="shared" si="13"/>
        <v>7663</v>
      </c>
      <c r="AJ12" s="430">
        <f t="shared" si="14"/>
        <v>0.92084296409138289</v>
      </c>
      <c r="AK12" s="431">
        <f t="shared" si="15"/>
        <v>-658.72292000000198</v>
      </c>
    </row>
    <row r="13" spans="1:38" ht="17.25" x14ac:dyDescent="0.3">
      <c r="A13"/>
      <c r="B13"/>
      <c r="C13" s="64"/>
      <c r="D13" s="65"/>
      <c r="E13" s="66"/>
      <c r="F13" s="434">
        <v>107357</v>
      </c>
      <c r="G13" s="19" t="s">
        <v>443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0</v>
      </c>
      <c r="N13" s="74">
        <f>+REMB!DE10</f>
        <v>0</v>
      </c>
      <c r="O13" s="74">
        <f>+REMB!DF10</f>
        <v>0</v>
      </c>
      <c r="P13" s="74">
        <f>+REMB!DG10</f>
        <v>0</v>
      </c>
      <c r="Q13" s="74">
        <f>+REMB!DH10</f>
        <v>0</v>
      </c>
      <c r="R13" s="74">
        <f>+REMB!DI10</f>
        <v>0</v>
      </c>
      <c r="S13" s="74">
        <f>+REMB!DJ10</f>
        <v>0</v>
      </c>
      <c r="T13" s="425">
        <f t="shared" si="1"/>
        <v>9806</v>
      </c>
      <c r="U13" s="74">
        <f>Poblacion2024!E10</f>
        <v>18509</v>
      </c>
      <c r="V13" s="75">
        <f t="shared" si="2"/>
        <v>0.5297963153060673</v>
      </c>
      <c r="W13" s="593">
        <f t="shared" si="3"/>
        <v>1.08</v>
      </c>
      <c r="X13" s="76">
        <f t="shared" si="4"/>
        <v>0.25919999999999999</v>
      </c>
      <c r="Y13" s="77">
        <f t="shared" si="16"/>
        <v>1</v>
      </c>
      <c r="Z13" s="77">
        <f t="shared" si="0"/>
        <v>6.25E-2</v>
      </c>
      <c r="AA13" s="95">
        <f t="shared" si="5"/>
        <v>1.08</v>
      </c>
      <c r="AB13" s="95">
        <f t="shared" si="6"/>
        <v>0.5297963153060673</v>
      </c>
      <c r="AC13" s="429">
        <f t="shared" si="7"/>
        <v>0.49055214380191414</v>
      </c>
      <c r="AD13" s="97">
        <f t="shared" si="8"/>
        <v>18509</v>
      </c>
      <c r="AE13" s="98">
        <f t="shared" si="9"/>
        <v>19989.72</v>
      </c>
      <c r="AF13" s="97">
        <f t="shared" si="10"/>
        <v>9806</v>
      </c>
      <c r="AG13" s="98">
        <f t="shared" si="11"/>
        <v>1665.8100000000002</v>
      </c>
      <c r="AH13" s="98">
        <f t="shared" si="12"/>
        <v>8329.0500000000011</v>
      </c>
      <c r="AI13" s="98">
        <f t="shared" si="13"/>
        <v>9806</v>
      </c>
      <c r="AJ13" s="430">
        <f t="shared" si="14"/>
        <v>1.1773251451245939</v>
      </c>
      <c r="AK13" s="431">
        <f t="shared" si="15"/>
        <v>1476.9499999999989</v>
      </c>
    </row>
    <row r="14" spans="1:38" ht="17.25" x14ac:dyDescent="0.3">
      <c r="A14"/>
      <c r="B14"/>
      <c r="C14" s="64"/>
      <c r="D14" s="65"/>
      <c r="E14" s="66"/>
      <c r="F14" s="434">
        <v>107400</v>
      </c>
      <c r="G14" s="19" t="s">
        <v>444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0</v>
      </c>
      <c r="N14" s="74">
        <f>+REMB!DE11</f>
        <v>0</v>
      </c>
      <c r="O14" s="74">
        <f>+REMB!DF11</f>
        <v>0</v>
      </c>
      <c r="P14" s="74">
        <f>+REMB!DG11</f>
        <v>0</v>
      </c>
      <c r="Q14" s="74">
        <f>+REMB!DH11</f>
        <v>0</v>
      </c>
      <c r="R14" s="74">
        <f>+REMB!DI11</f>
        <v>0</v>
      </c>
      <c r="S14" s="74">
        <f>+REMB!DJ11</f>
        <v>0</v>
      </c>
      <c r="T14" s="425">
        <f t="shared" si="1"/>
        <v>261</v>
      </c>
      <c r="U14" s="74">
        <f>Poblacion2024!E11</f>
        <v>497.09399999999994</v>
      </c>
      <c r="V14" s="75">
        <f t="shared" si="2"/>
        <v>0.52505159989861083</v>
      </c>
      <c r="W14" s="593">
        <f t="shared" si="3"/>
        <v>1.08</v>
      </c>
      <c r="X14" s="76">
        <f t="shared" si="4"/>
        <v>0.25919999999999999</v>
      </c>
      <c r="Y14" s="77">
        <f t="shared" si="16"/>
        <v>1</v>
      </c>
      <c r="Z14" s="77">
        <f t="shared" si="0"/>
        <v>6.25E-2</v>
      </c>
      <c r="AA14" s="95">
        <f t="shared" si="5"/>
        <v>1.08</v>
      </c>
      <c r="AB14" s="95">
        <f t="shared" si="6"/>
        <v>0.52505159989861083</v>
      </c>
      <c r="AC14" s="429">
        <f t="shared" si="7"/>
        <v>0.48615888879501001</v>
      </c>
      <c r="AD14" s="97">
        <f t="shared" si="8"/>
        <v>497.09399999999994</v>
      </c>
      <c r="AE14" s="98">
        <f t="shared" si="9"/>
        <v>536.86151999999993</v>
      </c>
      <c r="AF14" s="97">
        <f t="shared" si="10"/>
        <v>261</v>
      </c>
      <c r="AG14" s="98">
        <f t="shared" si="11"/>
        <v>44.738459999999996</v>
      </c>
      <c r="AH14" s="98">
        <f t="shared" si="12"/>
        <v>223.69229999999999</v>
      </c>
      <c r="AI14" s="98">
        <f t="shared" si="13"/>
        <v>261</v>
      </c>
      <c r="AJ14" s="430">
        <f t="shared" si="14"/>
        <v>1.1667813331080239</v>
      </c>
      <c r="AK14" s="431">
        <f t="shared" si="15"/>
        <v>37.307700000000011</v>
      </c>
    </row>
    <row r="15" spans="1:38" ht="18" thickBot="1" x14ac:dyDescent="0.35">
      <c r="A15"/>
      <c r="B15"/>
      <c r="C15" s="64"/>
      <c r="D15" s="65"/>
      <c r="E15" s="66"/>
      <c r="F15" s="435">
        <v>107756</v>
      </c>
      <c r="G15" s="28" t="s">
        <v>445</v>
      </c>
      <c r="H15" s="115">
        <f>+REMB!CY12</f>
        <v>597</v>
      </c>
      <c r="I15" s="115">
        <f>+REMB!CZ12</f>
        <v>449</v>
      </c>
      <c r="J15" s="115">
        <f>+REMB!DA12</f>
        <v>550</v>
      </c>
      <c r="K15" s="115">
        <f>+REMB!DB12</f>
        <v>661</v>
      </c>
      <c r="L15" s="115">
        <f>+REMB!DC12</f>
        <v>745</v>
      </c>
      <c r="M15" s="115">
        <f>+REMB!DD12</f>
        <v>0</v>
      </c>
      <c r="N15" s="115">
        <f>+REMB!DE12</f>
        <v>0</v>
      </c>
      <c r="O15" s="115">
        <f>+REMB!DF12</f>
        <v>0</v>
      </c>
      <c r="P15" s="115">
        <f>+REMB!DG12</f>
        <v>0</v>
      </c>
      <c r="Q15" s="115">
        <f>+REMB!DH12</f>
        <v>0</v>
      </c>
      <c r="R15" s="115">
        <f>+REMB!DI12</f>
        <v>0</v>
      </c>
      <c r="S15" s="115">
        <f>+REMB!DJ12</f>
        <v>0</v>
      </c>
      <c r="T15" s="580">
        <f t="shared" si="1"/>
        <v>3002</v>
      </c>
      <c r="U15" s="115">
        <f>Poblacion2024!E12</f>
        <v>4880.282400000001</v>
      </c>
      <c r="V15" s="581">
        <f t="shared" si="2"/>
        <v>0.61512833765521424</v>
      </c>
      <c r="W15" s="683">
        <f t="shared" si="3"/>
        <v>1.08</v>
      </c>
      <c r="X15" s="582">
        <f t="shared" si="4"/>
        <v>0.25919999999999999</v>
      </c>
      <c r="Y15" s="77">
        <f t="shared" si="16"/>
        <v>1</v>
      </c>
      <c r="Z15" s="77">
        <f t="shared" si="0"/>
        <v>6.25E-2</v>
      </c>
      <c r="AA15" s="560">
        <f t="shared" si="5"/>
        <v>1.08</v>
      </c>
      <c r="AB15" s="560">
        <f t="shared" si="6"/>
        <v>0.61512833765521424</v>
      </c>
      <c r="AC15" s="583">
        <f t="shared" si="7"/>
        <v>0.56956327560667985</v>
      </c>
      <c r="AD15" s="97">
        <f t="shared" si="8"/>
        <v>4880.282400000001</v>
      </c>
      <c r="AE15" s="98">
        <f t="shared" si="9"/>
        <v>5270.7049920000018</v>
      </c>
      <c r="AF15" s="97">
        <f t="shared" si="10"/>
        <v>3002</v>
      </c>
      <c r="AG15" s="98">
        <f t="shared" si="11"/>
        <v>439.22541600000017</v>
      </c>
      <c r="AH15" s="98">
        <f t="shared" si="12"/>
        <v>2196.1270800000007</v>
      </c>
      <c r="AI15" s="98">
        <f t="shared" si="13"/>
        <v>3002</v>
      </c>
      <c r="AJ15" s="584">
        <f t="shared" si="14"/>
        <v>1.3669518614560316</v>
      </c>
      <c r="AK15" s="431">
        <f t="shared" si="15"/>
        <v>805.87291999999934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6" t="s">
        <v>15</v>
      </c>
      <c r="H16" s="85">
        <f>SUM(H9:H15)</f>
        <v>9331</v>
      </c>
      <c r="I16" s="85">
        <f t="shared" ref="I16:S16" si="17">SUM(I9:I15)</f>
        <v>10331</v>
      </c>
      <c r="J16" s="85">
        <f t="shared" si="17"/>
        <v>9022</v>
      </c>
      <c r="K16" s="85">
        <f t="shared" si="17"/>
        <v>10387</v>
      </c>
      <c r="L16" s="85">
        <f t="shared" si="17"/>
        <v>10323</v>
      </c>
      <c r="M16" s="85">
        <f t="shared" si="17"/>
        <v>0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87">
        <f>SUM(T9:T15)</f>
        <v>49394</v>
      </c>
      <c r="U16" s="542">
        <f>SUM(U9:U15)</f>
        <v>121593</v>
      </c>
      <c r="V16" s="87">
        <f>+T16/U16</f>
        <v>0.4062240425024467</v>
      </c>
      <c r="W16" s="684">
        <f t="shared" si="3"/>
        <v>1.08</v>
      </c>
      <c r="X16" s="588">
        <f t="shared" si="4"/>
        <v>0.25919999999999999</v>
      </c>
      <c r="Y16" s="514">
        <f t="shared" si="16"/>
        <v>1</v>
      </c>
      <c r="Z16" s="514">
        <f t="shared" si="0"/>
        <v>6.25E-2</v>
      </c>
      <c r="AA16" s="765">
        <f t="shared" si="5"/>
        <v>1.08</v>
      </c>
      <c r="AB16" s="764">
        <f t="shared" si="6"/>
        <v>0.4062240425024467</v>
      </c>
      <c r="AC16" s="589">
        <f t="shared" si="7"/>
        <v>0.37613337268745062</v>
      </c>
      <c r="AD16" s="550">
        <f t="shared" si="8"/>
        <v>121593</v>
      </c>
      <c r="AE16" s="551">
        <f t="shared" si="9"/>
        <v>131320.44</v>
      </c>
      <c r="AF16" s="550">
        <f t="shared" si="10"/>
        <v>49394</v>
      </c>
      <c r="AG16" s="551">
        <f t="shared" si="11"/>
        <v>10943.37</v>
      </c>
      <c r="AH16" s="551">
        <f t="shared" si="12"/>
        <v>54716.850000000006</v>
      </c>
      <c r="AI16" s="551">
        <f t="shared" si="13"/>
        <v>49394</v>
      </c>
      <c r="AJ16" s="590">
        <f t="shared" si="14"/>
        <v>0.90272009444988144</v>
      </c>
      <c r="AK16" s="431">
        <f t="shared" si="15"/>
        <v>-5322.8500000000058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20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>
        <f>SUM(U8:U16)</f>
        <v>243186</v>
      </c>
      <c r="V18" s="87" t="e">
        <f>+#REF!/U18</f>
        <v>#REF!</v>
      </c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00B050"/>
  </sheetPr>
  <dimension ref="A1:AY44"/>
  <sheetViews>
    <sheetView zoomScale="50" zoomScaleNormal="50" workbookViewId="0">
      <selection activeCell="G40" sqref="G4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3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6.85546875" style="5" bestFit="1" customWidth="1"/>
    <col min="24" max="24" width="8.140625" style="5" bestFit="1" customWidth="1"/>
    <col min="25" max="25" width="9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4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  <c r="AC1" s="844"/>
      <c r="AD1" s="844"/>
      <c r="AE1" s="844"/>
      <c r="AF1" s="844"/>
      <c r="AG1" s="844"/>
      <c r="AH1" s="844"/>
      <c r="AI1" s="844"/>
      <c r="AJ1" s="844"/>
      <c r="AK1" s="844"/>
      <c r="AL1" s="844"/>
      <c r="AM1" s="102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7" t="str">
        <f>+NOMBRE!B7</f>
        <v>ENERO - MAYO 2024</v>
      </c>
      <c r="AJ2" s="847"/>
      <c r="AK2" s="847"/>
      <c r="AL2" s="847"/>
      <c r="AM2" s="102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848" t="s">
        <v>527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50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1" ht="28.5" customHeight="1" thickBot="1" x14ac:dyDescent="0.3">
      <c r="G5" s="58"/>
      <c r="H5" s="851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 s="853"/>
      <c r="AM5" s="5"/>
      <c r="AN5" s="5"/>
      <c r="AP5" s="6"/>
      <c r="AR5" s="5"/>
      <c r="AS5" s="88" t="s">
        <v>46</v>
      </c>
      <c r="AT5" s="89">
        <f>meta3!AB2</f>
        <v>5</v>
      </c>
      <c r="AU5" s="6"/>
      <c r="AW5" s="5"/>
    </row>
    <row r="6" spans="1:51" ht="66" customHeight="1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9" t="s">
        <v>5</v>
      </c>
      <c r="V6" s="880"/>
      <c r="W6" s="880"/>
      <c r="X6" s="880"/>
      <c r="Y6" s="880"/>
      <c r="Z6" s="880"/>
      <c r="AA6" s="880"/>
      <c r="AB6" s="880"/>
      <c r="AC6" s="880"/>
      <c r="AD6" s="880"/>
      <c r="AE6" s="880"/>
      <c r="AF6" s="880"/>
      <c r="AG6" s="880"/>
      <c r="AH6" s="854" t="s">
        <v>6</v>
      </c>
      <c r="AI6" s="856">
        <f>+NOMBRE!$B$9</f>
        <v>2024</v>
      </c>
      <c r="AJ6" s="878"/>
      <c r="AK6" s="858" t="s">
        <v>7</v>
      </c>
      <c r="AL6" s="859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1" ht="69.75" customHeight="1" thickBot="1" x14ac:dyDescent="0.3">
      <c r="G7" s="609" t="s">
        <v>438</v>
      </c>
      <c r="H7" s="860" t="s">
        <v>79</v>
      </c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0" t="s">
        <v>80</v>
      </c>
      <c r="V7" s="861"/>
      <c r="W7" s="861"/>
      <c r="X7" s="861"/>
      <c r="Y7" s="861"/>
      <c r="Z7" s="861"/>
      <c r="AA7" s="861"/>
      <c r="AB7" s="861"/>
      <c r="AC7" s="861"/>
      <c r="AD7" s="861"/>
      <c r="AE7" s="861"/>
      <c r="AF7" s="861"/>
      <c r="AG7" s="861"/>
      <c r="AH7" s="877"/>
      <c r="AI7" s="12" t="s">
        <v>11</v>
      </c>
      <c r="AJ7" s="12" t="s">
        <v>472</v>
      </c>
      <c r="AK7" s="14" t="s">
        <v>13</v>
      </c>
      <c r="AL7" s="14" t="s">
        <v>518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  <c r="AX7" s="105"/>
      <c r="AY7"/>
    </row>
    <row r="8" spans="1:51" ht="69.75" customHeight="1" thickBot="1" x14ac:dyDescent="0.3">
      <c r="F8" s="62" t="s">
        <v>93</v>
      </c>
      <c r="G8" s="609" t="s">
        <v>438</v>
      </c>
      <c r="H8" s="424" t="s">
        <v>189</v>
      </c>
      <c r="I8" s="424" t="s">
        <v>190</v>
      </c>
      <c r="J8" s="424" t="s">
        <v>191</v>
      </c>
      <c r="K8" s="424" t="s">
        <v>192</v>
      </c>
      <c r="L8" s="424" t="s">
        <v>193</v>
      </c>
      <c r="M8" s="424" t="s">
        <v>194</v>
      </c>
      <c r="N8" s="424" t="s">
        <v>195</v>
      </c>
      <c r="O8" s="424" t="s">
        <v>196</v>
      </c>
      <c r="P8" s="424" t="s">
        <v>428</v>
      </c>
      <c r="Q8" s="424" t="s">
        <v>198</v>
      </c>
      <c r="R8" s="424" t="s">
        <v>199</v>
      </c>
      <c r="S8" s="424" t="s">
        <v>200</v>
      </c>
      <c r="T8" s="427" t="s">
        <v>201</v>
      </c>
      <c r="U8" s="424" t="s">
        <v>189</v>
      </c>
      <c r="V8" s="424" t="s">
        <v>190</v>
      </c>
      <c r="W8" s="424" t="s">
        <v>191</v>
      </c>
      <c r="X8" s="424" t="s">
        <v>192</v>
      </c>
      <c r="Y8" s="424" t="s">
        <v>193</v>
      </c>
      <c r="Z8" s="424" t="s">
        <v>194</v>
      </c>
      <c r="AA8" s="424" t="s">
        <v>195</v>
      </c>
      <c r="AB8" s="424" t="s">
        <v>196</v>
      </c>
      <c r="AC8" s="424" t="s">
        <v>428</v>
      </c>
      <c r="AD8" s="424" t="s">
        <v>198</v>
      </c>
      <c r="AE8" s="424" t="s">
        <v>199</v>
      </c>
      <c r="AF8" s="424" t="s">
        <v>200</v>
      </c>
      <c r="AG8" s="651" t="s">
        <v>201</v>
      </c>
      <c r="AH8" s="652"/>
      <c r="AI8" s="486" t="str">
        <f>indicadores!E17</f>
        <v xml:space="preserve">&gt;= 90,7% </v>
      </c>
      <c r="AJ8" s="486">
        <v>1</v>
      </c>
      <c r="AK8" s="444"/>
      <c r="AL8" s="491">
        <v>5.49</v>
      </c>
      <c r="AM8" s="495" t="s">
        <v>68</v>
      </c>
      <c r="AN8" s="495" t="s">
        <v>69</v>
      </c>
      <c r="AO8" s="495" t="s">
        <v>70</v>
      </c>
      <c r="AP8" s="495" t="s">
        <v>71</v>
      </c>
      <c r="AQ8" s="495" t="s">
        <v>72</v>
      </c>
      <c r="AR8" s="495" t="s">
        <v>73</v>
      </c>
      <c r="AS8" s="495" t="s">
        <v>74</v>
      </c>
      <c r="AT8" s="495" t="s">
        <v>75</v>
      </c>
      <c r="AU8" s="495" t="s">
        <v>76</v>
      </c>
      <c r="AV8" s="495" t="s">
        <v>77</v>
      </c>
      <c r="AW8" s="495" t="s">
        <v>78</v>
      </c>
      <c r="AX8" s="105"/>
      <c r="AY8"/>
    </row>
    <row r="9" spans="1:51" ht="15" customHeight="1" thickBot="1" x14ac:dyDescent="0.35">
      <c r="A9"/>
      <c r="B9"/>
      <c r="C9" s="64"/>
      <c r="D9" s="65"/>
      <c r="E9" s="66"/>
      <c r="F9" s="433">
        <v>107307</v>
      </c>
      <c r="G9" s="19" t="s">
        <v>439</v>
      </c>
      <c r="H9" s="68">
        <f>+REMB!CY6-REMB!DM6</f>
        <v>2384</v>
      </c>
      <c r="I9" s="68">
        <f>+REMB!CZ6-REMB!DN6</f>
        <v>2501</v>
      </c>
      <c r="J9" s="68">
        <f>+REMB!DA6-REMB!DO6</f>
        <v>2234</v>
      </c>
      <c r="K9" s="68">
        <f>+REMB!DB6-REMB!DP6</f>
        <v>2374</v>
      </c>
      <c r="L9" s="68">
        <f>+REMB!DC6-REMB!DQ6</f>
        <v>2429</v>
      </c>
      <c r="M9" s="68">
        <f>+REMB!DD6-REMB!DR6</f>
        <v>0</v>
      </c>
      <c r="N9" s="68">
        <f>+REMB!DE6-REMB!DS6</f>
        <v>0</v>
      </c>
      <c r="O9" s="68">
        <f>+REMB!DF6-REMB!DT6</f>
        <v>0</v>
      </c>
      <c r="P9" s="68">
        <f>+REMB!DG6-REMB!DU6</f>
        <v>0</v>
      </c>
      <c r="Q9" s="68">
        <f>+REMB!DH6-REMB!DV6</f>
        <v>0</v>
      </c>
      <c r="R9" s="68">
        <f>+REMB!DI6-REMB!DW6</f>
        <v>0</v>
      </c>
      <c r="S9" s="68">
        <f>+REMB!DJ6-REMB!DX6</f>
        <v>0</v>
      </c>
      <c r="T9" s="476">
        <f>SUM(H9:P9)</f>
        <v>11922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0</v>
      </c>
      <c r="AA9" s="68">
        <f>+REMB!DE6</f>
        <v>0</v>
      </c>
      <c r="AB9" s="68">
        <f>+REMB!DF6</f>
        <v>0</v>
      </c>
      <c r="AC9" s="68">
        <f>+REMB!DG6</f>
        <v>0</v>
      </c>
      <c r="AD9" s="68">
        <f>+REMB!DH6</f>
        <v>0</v>
      </c>
      <c r="AE9" s="68">
        <f>+REMB!DI6</f>
        <v>0</v>
      </c>
      <c r="AF9" s="68">
        <f>+REMB!DJ6</f>
        <v>0</v>
      </c>
      <c r="AG9" s="476">
        <f>SUM(U9:AF9)</f>
        <v>12435</v>
      </c>
      <c r="AH9" s="45">
        <f>IF(AG9=0,0,+T9/AG9)</f>
        <v>0.95874547647768393</v>
      </c>
      <c r="AI9" s="108">
        <v>0.90700000000000003</v>
      </c>
      <c r="AJ9" s="667">
        <f>+AI9*$AJ$8</f>
        <v>0.90700000000000003</v>
      </c>
      <c r="AK9" s="107">
        <f>IF(+AH9/AJ9&gt;=1,1,+AH9/AJ9)</f>
        <v>1</v>
      </c>
      <c r="AL9" s="71">
        <f>+AK9*$AL$8/100</f>
        <v>5.4900000000000004E-2</v>
      </c>
      <c r="AM9" s="146">
        <f>AI9</f>
        <v>0.90700000000000003</v>
      </c>
      <c r="AN9" s="95">
        <f>(AR9/AP9)</f>
        <v>0.95874547647768393</v>
      </c>
      <c r="AO9" s="597">
        <f>AN9/AM9</f>
        <v>1.0570512419820108</v>
      </c>
      <c r="AP9" s="502">
        <f>AG9</f>
        <v>12435</v>
      </c>
      <c r="AQ9" s="503">
        <f>AP9*AM9</f>
        <v>11278.545</v>
      </c>
      <c r="AR9" s="502">
        <f>T9</f>
        <v>11922</v>
      </c>
      <c r="AS9" s="503">
        <f>AQ9/$AT$4</f>
        <v>939.87874999999997</v>
      </c>
      <c r="AT9" s="503">
        <f>AS9*$AT$5</f>
        <v>4699.3937500000002</v>
      </c>
      <c r="AU9" s="503">
        <f>T9</f>
        <v>11922</v>
      </c>
      <c r="AV9" s="500">
        <f>AU9/AT9</f>
        <v>2.5369229807568261</v>
      </c>
      <c r="AW9" s="431">
        <f>(AT9-AU9)*-1</f>
        <v>7222.6062499999998</v>
      </c>
    </row>
    <row r="10" spans="1:51" ht="15" customHeight="1" thickBot="1" x14ac:dyDescent="0.35">
      <c r="A10"/>
      <c r="B10"/>
      <c r="C10" s="64"/>
      <c r="D10" s="65"/>
      <c r="E10" s="66"/>
      <c r="F10" s="434">
        <v>107308</v>
      </c>
      <c r="G10" s="19" t="s">
        <v>440</v>
      </c>
      <c r="H10" s="73">
        <f>+REMB!CY7-REMB!DM7</f>
        <v>1274</v>
      </c>
      <c r="I10" s="73">
        <f>+REMB!CZ7-REMB!DN7</f>
        <v>1371</v>
      </c>
      <c r="J10" s="73">
        <f>+REMB!DA7-REMB!DO7</f>
        <v>1390</v>
      </c>
      <c r="K10" s="73">
        <f>+REMB!DB7-REMB!DP7</f>
        <v>1502</v>
      </c>
      <c r="L10" s="73">
        <f>+REMB!DC7-REMB!DQ7</f>
        <v>1747</v>
      </c>
      <c r="M10" s="73">
        <f>+REMB!DD7-REMB!DR7</f>
        <v>0</v>
      </c>
      <c r="N10" s="73">
        <f>+REMB!DE7-REMB!DS7</f>
        <v>0</v>
      </c>
      <c r="O10" s="73">
        <f>+REMB!DF7-REMB!DT7</f>
        <v>0</v>
      </c>
      <c r="P10" s="73">
        <f>+REMB!DG7-REMB!DU7</f>
        <v>0</v>
      </c>
      <c r="Q10" s="73">
        <f>+REMB!DH7-REMB!DV7</f>
        <v>0</v>
      </c>
      <c r="R10" s="73">
        <f>+REMB!DI7-REMB!DW7</f>
        <v>0</v>
      </c>
      <c r="S10" s="73">
        <f>+REMB!DJ7-REMB!DX7</f>
        <v>0</v>
      </c>
      <c r="T10" s="476">
        <f t="shared" ref="T10:T15" si="0">SUM(H10:P10)</f>
        <v>7284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0</v>
      </c>
      <c r="AA10" s="73">
        <f>+REMB!DE7</f>
        <v>0</v>
      </c>
      <c r="AB10" s="73">
        <f>+REMB!DF7</f>
        <v>0</v>
      </c>
      <c r="AC10" s="73">
        <f>+REMB!DG7</f>
        <v>0</v>
      </c>
      <c r="AD10" s="73">
        <f>+REMB!DH7</f>
        <v>0</v>
      </c>
      <c r="AE10" s="73">
        <f>+REMB!DI7</f>
        <v>0</v>
      </c>
      <c r="AF10" s="73">
        <f>+REMB!DJ7</f>
        <v>0</v>
      </c>
      <c r="AG10" s="476">
        <f t="shared" ref="AG10:AG16" si="1">SUM(U10:AF10)</f>
        <v>7865</v>
      </c>
      <c r="AH10" s="40">
        <f t="shared" ref="AH10:AH16" si="2">IF(AG10=0,0,+T10/AG10)</f>
        <v>0.92612841703750792</v>
      </c>
      <c r="AI10" s="108">
        <v>0.90700000000000003</v>
      </c>
      <c r="AJ10" s="668">
        <f t="shared" ref="AJ10:AJ16" si="3">+AI10*$AJ$8</f>
        <v>0.90700000000000003</v>
      </c>
      <c r="AK10" s="109">
        <f t="shared" ref="AK10:AK16" si="4">IF(+AH10/AJ10&gt;=1,1,+AH10/AJ10)</f>
        <v>1</v>
      </c>
      <c r="AL10" s="71">
        <f t="shared" ref="AL10:AL16" si="5">+AK10*$AL$8/100</f>
        <v>5.4900000000000004E-2</v>
      </c>
      <c r="AM10" s="146">
        <f t="shared" ref="AM10:AM16" si="6">AI10</f>
        <v>0.90700000000000003</v>
      </c>
      <c r="AN10" s="95">
        <f t="shared" ref="AN10:AN16" si="7">(AR10/AP10)</f>
        <v>0.92612841703750792</v>
      </c>
      <c r="AO10" s="597">
        <f t="shared" ref="AO10:AO16" si="8">AN10/AM10</f>
        <v>1.0210897652012214</v>
      </c>
      <c r="AP10" s="502">
        <f t="shared" ref="AP10:AP16" si="9">AG10</f>
        <v>7865</v>
      </c>
      <c r="AQ10" s="503">
        <f t="shared" ref="AQ10:AQ16" si="10">AP10*AM10</f>
        <v>7133.5550000000003</v>
      </c>
      <c r="AR10" s="502">
        <f t="shared" ref="AR10:AR16" si="11">T10</f>
        <v>7284</v>
      </c>
      <c r="AS10" s="503">
        <f t="shared" ref="AS10:AS15" si="12">AQ10/$AT$4</f>
        <v>594.46291666666673</v>
      </c>
      <c r="AT10" s="503">
        <f t="shared" ref="AT10:AT16" si="13">AS10*$AT$5</f>
        <v>2972.3145833333338</v>
      </c>
      <c r="AU10" s="503">
        <f t="shared" ref="AU10:AU16" si="14">T10</f>
        <v>7284</v>
      </c>
      <c r="AV10" s="500">
        <f t="shared" ref="AV10:AV16" si="15">AU10/AT10</f>
        <v>2.4506154364829316</v>
      </c>
      <c r="AW10" s="431">
        <f t="shared" ref="AW10:AW16" si="16">(AT10-AU10)*-1</f>
        <v>4311.6854166666662</v>
      </c>
    </row>
    <row r="11" spans="1:51" ht="15" customHeight="1" thickBot="1" x14ac:dyDescent="0.35">
      <c r="A11"/>
      <c r="B11"/>
      <c r="C11" s="64"/>
      <c r="D11" s="65"/>
      <c r="E11" s="66"/>
      <c r="F11" s="434">
        <v>107353</v>
      </c>
      <c r="G11" s="19" t="s">
        <v>441</v>
      </c>
      <c r="H11" s="73">
        <f>+REMB!CY8-REMB!DM8</f>
        <v>842</v>
      </c>
      <c r="I11" s="73">
        <f>+REMB!CZ8-REMB!DN8</f>
        <v>2935</v>
      </c>
      <c r="J11" s="73">
        <f>+REMB!DA8-REMB!DO8</f>
        <v>735</v>
      </c>
      <c r="K11" s="73">
        <f>+REMB!DB8-REMB!DP8</f>
        <v>1427</v>
      </c>
      <c r="L11" s="73">
        <f>+REMB!DC8-REMB!DQ8</f>
        <v>1353</v>
      </c>
      <c r="M11" s="73">
        <f>+REMB!DD8-REMB!DR8</f>
        <v>0</v>
      </c>
      <c r="N11" s="73">
        <f>+REMB!DE8-REMB!DS8</f>
        <v>0</v>
      </c>
      <c r="O11" s="73">
        <f>+REMB!DF8-REMB!DT8</f>
        <v>0</v>
      </c>
      <c r="P11" s="73">
        <f>+REMB!DG8-REMB!DU8</f>
        <v>0</v>
      </c>
      <c r="Q11" s="73">
        <f>+REMB!DH8-REMB!DV8</f>
        <v>0</v>
      </c>
      <c r="R11" s="73">
        <f>+REMB!DI8-REMB!DW8</f>
        <v>0</v>
      </c>
      <c r="S11" s="73">
        <f>+REMB!DJ8-REMB!DX8</f>
        <v>0</v>
      </c>
      <c r="T11" s="476">
        <f t="shared" si="0"/>
        <v>7292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0</v>
      </c>
      <c r="AA11" s="73">
        <f>+REMB!DE8</f>
        <v>0</v>
      </c>
      <c r="AB11" s="73">
        <f>+REMB!DF8</f>
        <v>0</v>
      </c>
      <c r="AC11" s="73">
        <f>+REMB!DG8</f>
        <v>0</v>
      </c>
      <c r="AD11" s="73">
        <f>+REMB!DH8</f>
        <v>0</v>
      </c>
      <c r="AE11" s="73">
        <f>+REMB!DI8</f>
        <v>0</v>
      </c>
      <c r="AF11" s="73">
        <f>+REMB!DJ8</f>
        <v>0</v>
      </c>
      <c r="AG11" s="476">
        <f t="shared" si="1"/>
        <v>8362</v>
      </c>
      <c r="AH11" s="40">
        <f t="shared" si="2"/>
        <v>0.872040181774695</v>
      </c>
      <c r="AI11" s="108">
        <v>0.90700000000000003</v>
      </c>
      <c r="AJ11" s="668">
        <f t="shared" si="3"/>
        <v>0.90700000000000003</v>
      </c>
      <c r="AK11" s="109">
        <f t="shared" si="4"/>
        <v>0.96145554771190189</v>
      </c>
      <c r="AL11" s="71">
        <f t="shared" si="5"/>
        <v>5.2783909569383419E-2</v>
      </c>
      <c r="AM11" s="146">
        <f t="shared" si="6"/>
        <v>0.90700000000000003</v>
      </c>
      <c r="AN11" s="95">
        <f t="shared" si="7"/>
        <v>0.872040181774695</v>
      </c>
      <c r="AO11" s="597">
        <f t="shared" si="8"/>
        <v>0.96145554771190189</v>
      </c>
      <c r="AP11" s="502">
        <f t="shared" si="9"/>
        <v>8362</v>
      </c>
      <c r="AQ11" s="503">
        <f t="shared" si="10"/>
        <v>7584.3339999999998</v>
      </c>
      <c r="AR11" s="502">
        <f t="shared" si="11"/>
        <v>7292</v>
      </c>
      <c r="AS11" s="503">
        <f t="shared" si="12"/>
        <v>632.02783333333332</v>
      </c>
      <c r="AT11" s="503">
        <f t="shared" si="13"/>
        <v>3160.1391666666668</v>
      </c>
      <c r="AU11" s="503">
        <f t="shared" si="14"/>
        <v>7292</v>
      </c>
      <c r="AV11" s="500">
        <f t="shared" si="15"/>
        <v>2.3074933145085645</v>
      </c>
      <c r="AW11" s="431">
        <f t="shared" si="16"/>
        <v>4131.8608333333332</v>
      </c>
    </row>
    <row r="12" spans="1:51" ht="15" customHeight="1" thickBot="1" x14ac:dyDescent="0.35">
      <c r="A12"/>
      <c r="B12"/>
      <c r="C12" s="64"/>
      <c r="D12" s="65"/>
      <c r="E12" s="66"/>
      <c r="F12" s="434">
        <v>107356</v>
      </c>
      <c r="G12" s="19" t="s">
        <v>442</v>
      </c>
      <c r="H12" s="73">
        <f>+REMB!CY9-REMB!DM9</f>
        <v>2179</v>
      </c>
      <c r="I12" s="73">
        <f>+REMB!CZ9-REMB!DN9</f>
        <v>498</v>
      </c>
      <c r="J12" s="73">
        <f>+REMB!DA9-REMB!DO9</f>
        <v>1123</v>
      </c>
      <c r="K12" s="73">
        <f>+REMB!DB9-REMB!DP9</f>
        <v>1215</v>
      </c>
      <c r="L12" s="73">
        <f>+REMB!DC9-REMB!DQ9</f>
        <v>1431</v>
      </c>
      <c r="M12" s="73">
        <f>+REMB!DD9-REMB!DR9</f>
        <v>0</v>
      </c>
      <c r="N12" s="73">
        <f>+REMB!DE9-REMB!DS9</f>
        <v>0</v>
      </c>
      <c r="O12" s="73">
        <f>+REMB!DF9-REMB!DT9</f>
        <v>0</v>
      </c>
      <c r="P12" s="73">
        <f>+REMB!DG9-REMB!DU9</f>
        <v>0</v>
      </c>
      <c r="Q12" s="73">
        <f>+REMB!DH9-REMB!DV9</f>
        <v>0</v>
      </c>
      <c r="R12" s="73">
        <f>+REMB!DI9-REMB!DW9</f>
        <v>0</v>
      </c>
      <c r="S12" s="73">
        <f>+REMB!DJ9-REMB!DX9</f>
        <v>0</v>
      </c>
      <c r="T12" s="476">
        <f t="shared" si="0"/>
        <v>6446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0</v>
      </c>
      <c r="AA12" s="73">
        <f>+REMB!DE9</f>
        <v>0</v>
      </c>
      <c r="AB12" s="73">
        <f>+REMB!DF9</f>
        <v>0</v>
      </c>
      <c r="AC12" s="73">
        <f>+REMB!DG9</f>
        <v>0</v>
      </c>
      <c r="AD12" s="73">
        <f>+REMB!DH9</f>
        <v>0</v>
      </c>
      <c r="AE12" s="73">
        <f>+REMB!DI9</f>
        <v>0</v>
      </c>
      <c r="AF12" s="73">
        <f>+REMB!DJ9</f>
        <v>0</v>
      </c>
      <c r="AG12" s="476">
        <f t="shared" si="1"/>
        <v>7663</v>
      </c>
      <c r="AH12" s="40">
        <f t="shared" si="2"/>
        <v>0.84118491452433775</v>
      </c>
      <c r="AI12" s="108">
        <v>0.90700000000000003</v>
      </c>
      <c r="AJ12" s="668">
        <f t="shared" si="3"/>
        <v>0.90700000000000003</v>
      </c>
      <c r="AK12" s="109">
        <f t="shared" si="4"/>
        <v>0.92743650994965565</v>
      </c>
      <c r="AL12" s="71">
        <f t="shared" si="5"/>
        <v>5.0916264396236102E-2</v>
      </c>
      <c r="AM12" s="146">
        <f t="shared" si="6"/>
        <v>0.90700000000000003</v>
      </c>
      <c r="AN12" s="95">
        <f t="shared" si="7"/>
        <v>0.84118491452433775</v>
      </c>
      <c r="AO12" s="597">
        <f t="shared" si="8"/>
        <v>0.92743650994965565</v>
      </c>
      <c r="AP12" s="502">
        <f t="shared" si="9"/>
        <v>7663</v>
      </c>
      <c r="AQ12" s="503">
        <f t="shared" si="10"/>
        <v>6950.3410000000003</v>
      </c>
      <c r="AR12" s="502">
        <f t="shared" si="11"/>
        <v>6446</v>
      </c>
      <c r="AS12" s="503">
        <f t="shared" si="12"/>
        <v>579.1950833333334</v>
      </c>
      <c r="AT12" s="503">
        <f t="shared" si="13"/>
        <v>2895.9754166666671</v>
      </c>
      <c r="AU12" s="503">
        <f t="shared" si="14"/>
        <v>6446</v>
      </c>
      <c r="AV12" s="500">
        <f t="shared" si="15"/>
        <v>2.2258476238791736</v>
      </c>
      <c r="AW12" s="431">
        <f t="shared" si="16"/>
        <v>3550.0245833333329</v>
      </c>
    </row>
    <row r="13" spans="1:51" ht="15" customHeight="1" thickBot="1" x14ac:dyDescent="0.35">
      <c r="A13"/>
      <c r="B13"/>
      <c r="C13" s="64"/>
      <c r="D13" s="65"/>
      <c r="E13" s="66"/>
      <c r="F13" s="434">
        <v>107357</v>
      </c>
      <c r="G13" s="19" t="s">
        <v>443</v>
      </c>
      <c r="H13" s="73">
        <f>+REMB!CY10-REMB!DM10</f>
        <v>721</v>
      </c>
      <c r="I13" s="73">
        <f>+REMB!CZ10-REMB!DN10</f>
        <v>1309</v>
      </c>
      <c r="J13" s="73">
        <f>+REMB!DA10-REMB!DO10</f>
        <v>1536</v>
      </c>
      <c r="K13" s="73">
        <f>+REMB!DB10-REMB!DP10</f>
        <v>1858</v>
      </c>
      <c r="L13" s="73">
        <f>+REMB!DC10-REMB!DQ10</f>
        <v>1372</v>
      </c>
      <c r="M13" s="73">
        <f>+REMB!DD10-REMB!DR10</f>
        <v>0</v>
      </c>
      <c r="N13" s="73">
        <f>+REMB!DE10-REMB!DS10</f>
        <v>0</v>
      </c>
      <c r="O13" s="73">
        <f>+REMB!DF10-REMB!DT10</f>
        <v>0</v>
      </c>
      <c r="P13" s="73">
        <f>+REMB!DG10-REMB!DU10</f>
        <v>0</v>
      </c>
      <c r="Q13" s="73">
        <f>+REMB!DH10-REMB!DV10</f>
        <v>0</v>
      </c>
      <c r="R13" s="73">
        <f>+REMB!DI10-REMB!DW10</f>
        <v>0</v>
      </c>
      <c r="S13" s="73">
        <f>+REMB!DJ10-REMB!DX10</f>
        <v>0</v>
      </c>
      <c r="T13" s="476">
        <f t="shared" si="0"/>
        <v>6796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0</v>
      </c>
      <c r="AA13" s="73">
        <f>+REMB!DE10</f>
        <v>0</v>
      </c>
      <c r="AB13" s="73">
        <f>+REMB!DF10</f>
        <v>0</v>
      </c>
      <c r="AC13" s="73">
        <f>+REMB!DG10</f>
        <v>0</v>
      </c>
      <c r="AD13" s="73">
        <f>+REMB!DH10</f>
        <v>0</v>
      </c>
      <c r="AE13" s="73">
        <f>+REMB!DI10</f>
        <v>0</v>
      </c>
      <c r="AF13" s="73">
        <f>+REMB!DJ10</f>
        <v>0</v>
      </c>
      <c r="AG13" s="476">
        <f t="shared" si="1"/>
        <v>9806</v>
      </c>
      <c r="AH13" s="40">
        <f t="shared" si="2"/>
        <v>0.69304507444421781</v>
      </c>
      <c r="AI13" s="108">
        <v>0.90700000000000003</v>
      </c>
      <c r="AJ13" s="668">
        <f t="shared" si="3"/>
        <v>0.90700000000000003</v>
      </c>
      <c r="AK13" s="109">
        <f t="shared" si="4"/>
        <v>0.76410702805316189</v>
      </c>
      <c r="AL13" s="71">
        <f t="shared" si="5"/>
        <v>4.1949475840118593E-2</v>
      </c>
      <c r="AM13" s="146">
        <f t="shared" si="6"/>
        <v>0.90700000000000003</v>
      </c>
      <c r="AN13" s="95">
        <f t="shared" si="7"/>
        <v>0.69304507444421781</v>
      </c>
      <c r="AO13" s="597">
        <f t="shared" si="8"/>
        <v>0.76410702805316189</v>
      </c>
      <c r="AP13" s="502">
        <f t="shared" si="9"/>
        <v>9806</v>
      </c>
      <c r="AQ13" s="503">
        <f t="shared" si="10"/>
        <v>8894.0419999999995</v>
      </c>
      <c r="AR13" s="502">
        <f t="shared" si="11"/>
        <v>6796</v>
      </c>
      <c r="AS13" s="503">
        <f t="shared" si="12"/>
        <v>741.17016666666666</v>
      </c>
      <c r="AT13" s="503">
        <f t="shared" si="13"/>
        <v>3705.8508333333334</v>
      </c>
      <c r="AU13" s="503">
        <f t="shared" si="14"/>
        <v>6796</v>
      </c>
      <c r="AV13" s="500">
        <f t="shared" si="15"/>
        <v>1.8338568673275886</v>
      </c>
      <c r="AW13" s="431">
        <f t="shared" si="16"/>
        <v>3090.1491666666666</v>
      </c>
    </row>
    <row r="14" spans="1:51" ht="15" customHeight="1" thickBot="1" x14ac:dyDescent="0.35">
      <c r="A14"/>
      <c r="B14"/>
      <c r="C14" s="64"/>
      <c r="D14" s="65"/>
      <c r="E14" s="66"/>
      <c r="F14" s="434">
        <v>107400</v>
      </c>
      <c r="G14" s="19" t="s">
        <v>444</v>
      </c>
      <c r="H14" s="73">
        <f>+REMB!CY11-REMB!DM11</f>
        <v>64</v>
      </c>
      <c r="I14" s="73">
        <f>+REMB!CZ11-REMB!DN11</f>
        <v>17</v>
      </c>
      <c r="J14" s="73">
        <f>+REMB!DA11-REMB!DO11</f>
        <v>28</v>
      </c>
      <c r="K14" s="73">
        <f>+REMB!DB11-REMB!DP11</f>
        <v>58</v>
      </c>
      <c r="L14" s="73">
        <f>+REMB!DC11-REMB!DQ11</f>
        <v>49</v>
      </c>
      <c r="M14" s="73">
        <f>+REMB!DD11-REMB!DR11</f>
        <v>0</v>
      </c>
      <c r="N14" s="73">
        <f>+REMB!DE11-REMB!DS11</f>
        <v>0</v>
      </c>
      <c r="O14" s="73">
        <f>+REMB!DF11-REMB!DT11</f>
        <v>0</v>
      </c>
      <c r="P14" s="73">
        <f>+REMB!DG11-REMB!DU11</f>
        <v>0</v>
      </c>
      <c r="Q14" s="73">
        <f>+REMB!DH11-REMB!DV11</f>
        <v>0</v>
      </c>
      <c r="R14" s="73">
        <f>+REMB!DI11-REMB!DW11</f>
        <v>0</v>
      </c>
      <c r="S14" s="73">
        <f>+REMB!DJ11-REMB!DX11</f>
        <v>0</v>
      </c>
      <c r="T14" s="476">
        <f t="shared" si="0"/>
        <v>216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0</v>
      </c>
      <c r="AA14" s="73">
        <f>+REMB!DE11</f>
        <v>0</v>
      </c>
      <c r="AB14" s="73">
        <f>+REMB!DF11</f>
        <v>0</v>
      </c>
      <c r="AC14" s="73">
        <f>+REMB!DG11</f>
        <v>0</v>
      </c>
      <c r="AD14" s="73">
        <f>+REMB!DH11</f>
        <v>0</v>
      </c>
      <c r="AE14" s="73">
        <f>+REMB!DI11</f>
        <v>0</v>
      </c>
      <c r="AF14" s="73">
        <f>+REMB!DJ11</f>
        <v>0</v>
      </c>
      <c r="AG14" s="476">
        <f t="shared" si="1"/>
        <v>261</v>
      </c>
      <c r="AH14" s="40">
        <f t="shared" si="2"/>
        <v>0.82758620689655171</v>
      </c>
      <c r="AI14" s="108">
        <v>0.90700000000000003</v>
      </c>
      <c r="AJ14" s="668">
        <f t="shared" si="3"/>
        <v>0.90700000000000003</v>
      </c>
      <c r="AK14" s="109">
        <f t="shared" si="4"/>
        <v>0.91244344751549245</v>
      </c>
      <c r="AL14" s="71">
        <f t="shared" si="5"/>
        <v>5.0093145268600543E-2</v>
      </c>
      <c r="AM14" s="146">
        <f t="shared" si="6"/>
        <v>0.90700000000000003</v>
      </c>
      <c r="AN14" s="95">
        <f t="shared" si="7"/>
        <v>0.82758620689655171</v>
      </c>
      <c r="AO14" s="597">
        <f t="shared" si="8"/>
        <v>0.91244344751549245</v>
      </c>
      <c r="AP14" s="502">
        <f t="shared" si="9"/>
        <v>261</v>
      </c>
      <c r="AQ14" s="503">
        <f t="shared" si="10"/>
        <v>236.727</v>
      </c>
      <c r="AR14" s="502">
        <f t="shared" si="11"/>
        <v>216</v>
      </c>
      <c r="AS14" s="503">
        <f t="shared" si="12"/>
        <v>19.727250000000002</v>
      </c>
      <c r="AT14" s="503">
        <f t="shared" si="13"/>
        <v>98.636250000000004</v>
      </c>
      <c r="AU14" s="503">
        <f t="shared" si="14"/>
        <v>216</v>
      </c>
      <c r="AV14" s="500">
        <f t="shared" si="15"/>
        <v>2.1898642740371819</v>
      </c>
      <c r="AW14" s="431">
        <f t="shared" si="16"/>
        <v>117.36375</v>
      </c>
    </row>
    <row r="15" spans="1:51" ht="15" customHeight="1" thickBot="1" x14ac:dyDescent="0.35">
      <c r="A15"/>
      <c r="B15"/>
      <c r="C15" s="64"/>
      <c r="D15" s="65"/>
      <c r="E15" s="66"/>
      <c r="F15" s="435">
        <v>107756</v>
      </c>
      <c r="G15" s="28" t="s">
        <v>445</v>
      </c>
      <c r="H15" s="114">
        <f>+REMB!CY12-REMB!DM12</f>
        <v>421</v>
      </c>
      <c r="I15" s="114">
        <f>+REMB!CZ12-REMB!DN12</f>
        <v>372</v>
      </c>
      <c r="J15" s="114">
        <f>+REMB!DA12-REMB!DO12</f>
        <v>440</v>
      </c>
      <c r="K15" s="114">
        <f>+REMB!DB12-REMB!DP12</f>
        <v>579</v>
      </c>
      <c r="L15" s="114">
        <f>+REMB!DC12-REMB!DQ12</f>
        <v>629</v>
      </c>
      <c r="M15" s="114">
        <f>+REMB!DD12-REMB!DR12</f>
        <v>0</v>
      </c>
      <c r="N15" s="114">
        <f>+REMB!DE12-REMB!DS12</f>
        <v>0</v>
      </c>
      <c r="O15" s="114">
        <f>+REMB!DF12-REMB!DT12</f>
        <v>0</v>
      </c>
      <c r="P15" s="114">
        <f>+REMB!DG12-REMB!DU12</f>
        <v>0</v>
      </c>
      <c r="Q15" s="114">
        <f>+REMB!DH12-REMB!DV12</f>
        <v>0</v>
      </c>
      <c r="R15" s="114">
        <f>+REMB!DI12-REMB!DW12</f>
        <v>0</v>
      </c>
      <c r="S15" s="114">
        <f>+REMB!DJ12-REMB!DX12</f>
        <v>0</v>
      </c>
      <c r="T15" s="594">
        <f t="shared" si="0"/>
        <v>2441</v>
      </c>
      <c r="U15" s="114">
        <f>+REMB!CY12</f>
        <v>597</v>
      </c>
      <c r="V15" s="114">
        <f>+REMB!CZ12</f>
        <v>449</v>
      </c>
      <c r="W15" s="114">
        <f>+REMB!DA12</f>
        <v>550</v>
      </c>
      <c r="X15" s="114">
        <f>+REMB!DB12</f>
        <v>661</v>
      </c>
      <c r="Y15" s="114">
        <f>+REMB!DC12</f>
        <v>745</v>
      </c>
      <c r="Z15" s="114">
        <f>+REMB!DD12</f>
        <v>0</v>
      </c>
      <c r="AA15" s="114">
        <f>+REMB!DE12</f>
        <v>0</v>
      </c>
      <c r="AB15" s="114">
        <f>+REMB!DF12</f>
        <v>0</v>
      </c>
      <c r="AC15" s="114">
        <f>+REMB!DG12</f>
        <v>0</v>
      </c>
      <c r="AD15" s="114">
        <f>+REMB!DH12</f>
        <v>0</v>
      </c>
      <c r="AE15" s="114">
        <f>+REMB!DI12</f>
        <v>0</v>
      </c>
      <c r="AF15" s="114">
        <f>+REMB!DJ12</f>
        <v>0</v>
      </c>
      <c r="AG15" s="594">
        <f t="shared" si="1"/>
        <v>3002</v>
      </c>
      <c r="AH15" s="54">
        <f t="shared" si="2"/>
        <v>0.8131245836109261</v>
      </c>
      <c r="AI15" s="108">
        <v>0.90700000000000003</v>
      </c>
      <c r="AJ15" s="669">
        <f t="shared" si="3"/>
        <v>0.90700000000000003</v>
      </c>
      <c r="AK15" s="595">
        <f t="shared" si="4"/>
        <v>0.89649898964820951</v>
      </c>
      <c r="AL15" s="71">
        <f t="shared" si="5"/>
        <v>4.9217794531686704E-2</v>
      </c>
      <c r="AM15" s="545">
        <f t="shared" si="6"/>
        <v>0.90700000000000003</v>
      </c>
      <c r="AN15" s="560">
        <f t="shared" si="7"/>
        <v>0.8131245836109261</v>
      </c>
      <c r="AO15" s="598">
        <f t="shared" si="8"/>
        <v>0.89649898964820951</v>
      </c>
      <c r="AP15" s="502">
        <f t="shared" si="9"/>
        <v>3002</v>
      </c>
      <c r="AQ15" s="503">
        <f t="shared" si="10"/>
        <v>2722.8140000000003</v>
      </c>
      <c r="AR15" s="502">
        <f t="shared" si="11"/>
        <v>2441</v>
      </c>
      <c r="AS15" s="503">
        <f t="shared" si="12"/>
        <v>226.90116666666668</v>
      </c>
      <c r="AT15" s="503">
        <f t="shared" si="13"/>
        <v>1134.5058333333334</v>
      </c>
      <c r="AU15" s="503">
        <f t="shared" si="14"/>
        <v>2441</v>
      </c>
      <c r="AV15" s="577">
        <f t="shared" si="15"/>
        <v>2.1515975751557028</v>
      </c>
      <c r="AW15" s="431">
        <f t="shared" si="16"/>
        <v>1306.4941666666666</v>
      </c>
    </row>
    <row r="16" spans="1:51" ht="15" customHeight="1" thickBot="1" x14ac:dyDescent="0.35">
      <c r="A16"/>
      <c r="B16"/>
      <c r="C16" s="64"/>
      <c r="D16" s="65"/>
      <c r="E16" s="66"/>
      <c r="F16" s="106"/>
      <c r="G16" s="544" t="s">
        <v>15</v>
      </c>
      <c r="H16" s="85">
        <f>SUM(H9:H15)</f>
        <v>7885</v>
      </c>
      <c r="I16" s="85">
        <f t="shared" ref="I16:S16" si="17">SUM(I9:I15)</f>
        <v>9003</v>
      </c>
      <c r="J16" s="85">
        <f t="shared" si="17"/>
        <v>7486</v>
      </c>
      <c r="K16" s="85">
        <f t="shared" si="17"/>
        <v>9013</v>
      </c>
      <c r="L16" s="85">
        <f t="shared" si="17"/>
        <v>9010</v>
      </c>
      <c r="M16" s="85">
        <f t="shared" si="17"/>
        <v>0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96">
        <f>SUM(T9:T15)</f>
        <v>42397</v>
      </c>
      <c r="U16" s="85">
        <f>SUM(U9:U15)</f>
        <v>9331</v>
      </c>
      <c r="V16" s="85">
        <f t="shared" ref="V16:AF16" si="18">SUM(V9:V15)</f>
        <v>10331</v>
      </c>
      <c r="W16" s="85">
        <f t="shared" si="18"/>
        <v>9022</v>
      </c>
      <c r="X16" s="85">
        <f t="shared" si="18"/>
        <v>10387</v>
      </c>
      <c r="Y16" s="85">
        <f t="shared" si="18"/>
        <v>10323</v>
      </c>
      <c r="Z16" s="85">
        <f t="shared" si="18"/>
        <v>0</v>
      </c>
      <c r="AA16" s="85">
        <f t="shared" si="18"/>
        <v>0</v>
      </c>
      <c r="AB16" s="85">
        <f t="shared" si="18"/>
        <v>0</v>
      </c>
      <c r="AC16" s="85">
        <f t="shared" si="18"/>
        <v>0</v>
      </c>
      <c r="AD16" s="85">
        <f t="shared" si="18"/>
        <v>0</v>
      </c>
      <c r="AE16" s="85">
        <f t="shared" si="18"/>
        <v>0</v>
      </c>
      <c r="AF16" s="85">
        <f t="shared" si="18"/>
        <v>0</v>
      </c>
      <c r="AG16" s="596">
        <f t="shared" si="1"/>
        <v>49394</v>
      </c>
      <c r="AH16" s="481">
        <f t="shared" si="2"/>
        <v>0.85834311859740053</v>
      </c>
      <c r="AI16" s="543">
        <v>0.90700000000000003</v>
      </c>
      <c r="AJ16" s="543">
        <f t="shared" si="3"/>
        <v>0.90700000000000003</v>
      </c>
      <c r="AK16" s="685">
        <f t="shared" si="4"/>
        <v>0.94635404476008878</v>
      </c>
      <c r="AL16" s="514">
        <f t="shared" si="5"/>
        <v>5.1954837057328875E-2</v>
      </c>
      <c r="AM16" s="548">
        <f t="shared" si="6"/>
        <v>0.90700000000000003</v>
      </c>
      <c r="AN16" s="566">
        <f t="shared" si="7"/>
        <v>0.85834311859740053</v>
      </c>
      <c r="AO16" s="567">
        <f t="shared" si="8"/>
        <v>0.94635404476008878</v>
      </c>
      <c r="AP16" s="599">
        <f t="shared" si="9"/>
        <v>49394</v>
      </c>
      <c r="AQ16" s="600">
        <f t="shared" si="10"/>
        <v>44800.358</v>
      </c>
      <c r="AR16" s="599">
        <f t="shared" si="11"/>
        <v>42397</v>
      </c>
      <c r="AS16" s="600">
        <f>AQ16/$AT$4</f>
        <v>3733.3631666666665</v>
      </c>
      <c r="AT16" s="600">
        <f t="shared" si="13"/>
        <v>18666.815833333334</v>
      </c>
      <c r="AU16" s="600">
        <f t="shared" si="14"/>
        <v>42397</v>
      </c>
      <c r="AV16" s="552">
        <f t="shared" si="15"/>
        <v>2.2712497074242131</v>
      </c>
      <c r="AW16" s="431">
        <f t="shared" si="16"/>
        <v>23730.184166666666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00B050"/>
  </sheetPr>
  <dimension ref="A1:BD27"/>
  <sheetViews>
    <sheetView zoomScale="70" zoomScaleNormal="70" workbookViewId="0">
      <selection activeCell="M9" sqref="M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4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8.5703125" style="5" bestFit="1" customWidth="1"/>
    <col min="21" max="21" width="9.28515625" style="5" bestFit="1" customWidth="1"/>
    <col min="22" max="22" width="20.140625" style="5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56"/>
      <c r="AC1" s="56"/>
      <c r="AG1" s="56"/>
      <c r="AI1" s="118"/>
      <c r="AL1" s="3"/>
      <c r="AM1" s="3"/>
    </row>
    <row r="2" spans="1:56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7" t="str">
        <f>+NOMBRE!B7</f>
        <v>ENERO - MAYO 2024</v>
      </c>
      <c r="Y2" s="847"/>
      <c r="Z2" s="847"/>
      <c r="AA2" s="847"/>
      <c r="AB2" s="56"/>
      <c r="AC2" s="56"/>
      <c r="AG2" s="56"/>
      <c r="AI2" s="118"/>
      <c r="AL2" s="3"/>
      <c r="AM2" s="3"/>
    </row>
    <row r="3" spans="1:56" ht="3" customHeight="1" thickBot="1" x14ac:dyDescent="0.3"/>
    <row r="4" spans="1:56" ht="15" customHeight="1" x14ac:dyDescent="0.25">
      <c r="G4" s="58"/>
      <c r="H4" s="848" t="s">
        <v>528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81"/>
      <c r="W4" s="881"/>
      <c r="X4" s="881"/>
      <c r="Y4" s="881"/>
      <c r="Z4" s="881"/>
      <c r="AA4" s="882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56" ht="23.25" customHeight="1" thickBot="1" x14ac:dyDescent="0.3">
      <c r="G5" s="58"/>
      <c r="H5" s="883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5"/>
      <c r="AB5" s="5"/>
      <c r="AC5" s="5"/>
      <c r="AE5" s="6"/>
      <c r="AG5" s="5"/>
      <c r="AH5" s="88" t="s">
        <v>46</v>
      </c>
      <c r="AI5" s="89">
        <f>meta3!AB2</f>
        <v>5</v>
      </c>
      <c r="AJ5" s="6"/>
      <c r="AL5" s="5"/>
    </row>
    <row r="6" spans="1:56" ht="51" customHeight="1" thickBot="1" x14ac:dyDescent="0.3">
      <c r="G6" s="58"/>
      <c r="H6" s="879" t="s">
        <v>4</v>
      </c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0"/>
      <c r="U6" s="889"/>
      <c r="V6" s="8" t="s">
        <v>5</v>
      </c>
      <c r="W6" s="854" t="s">
        <v>83</v>
      </c>
      <c r="X6" s="856">
        <f>+NOMBRE!$B$9</f>
        <v>2024</v>
      </c>
      <c r="Y6" s="857"/>
      <c r="Z6" s="858" t="s">
        <v>7</v>
      </c>
      <c r="AA6" s="859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56" ht="93" customHeight="1" thickBot="1" x14ac:dyDescent="0.3">
      <c r="G7" s="58"/>
      <c r="H7" s="886" t="s">
        <v>84</v>
      </c>
      <c r="I7" s="887"/>
      <c r="J7" s="887"/>
      <c r="K7" s="887"/>
      <c r="L7" s="887"/>
      <c r="M7" s="887"/>
      <c r="N7" s="887"/>
      <c r="O7" s="887"/>
      <c r="P7" s="887"/>
      <c r="Q7" s="887"/>
      <c r="R7" s="887"/>
      <c r="S7" s="887"/>
      <c r="T7" s="887"/>
      <c r="U7" s="888"/>
      <c r="V7" s="11" t="s">
        <v>85</v>
      </c>
      <c r="W7" s="855"/>
      <c r="X7" s="12" t="s">
        <v>11</v>
      </c>
      <c r="Y7" s="12" t="s">
        <v>472</v>
      </c>
      <c r="Z7" s="119" t="s">
        <v>13</v>
      </c>
      <c r="AA7" s="14" t="s">
        <v>518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56" ht="93" customHeight="1" thickBot="1" x14ac:dyDescent="0.3">
      <c r="G8" s="609" t="s">
        <v>438</v>
      </c>
      <c r="H8" s="441"/>
      <c r="I8" s="424" t="s">
        <v>189</v>
      </c>
      <c r="J8" s="424" t="s">
        <v>190</v>
      </c>
      <c r="K8" s="424" t="s">
        <v>191</v>
      </c>
      <c r="L8" s="424" t="s">
        <v>192</v>
      </c>
      <c r="M8" s="424" t="s">
        <v>193</v>
      </c>
      <c r="N8" s="424" t="s">
        <v>194</v>
      </c>
      <c r="O8" s="424" t="s">
        <v>195</v>
      </c>
      <c r="P8" s="424" t="s">
        <v>196</v>
      </c>
      <c r="Q8" s="424" t="s">
        <v>428</v>
      </c>
      <c r="R8" s="424" t="s">
        <v>198</v>
      </c>
      <c r="S8" s="424" t="s">
        <v>199</v>
      </c>
      <c r="T8" s="424" t="s">
        <v>200</v>
      </c>
      <c r="U8" s="478" t="s">
        <v>201</v>
      </c>
      <c r="V8" s="442"/>
      <c r="W8" s="443"/>
      <c r="X8" s="687">
        <f>indicadores!E22</f>
        <v>0.16500000000000001</v>
      </c>
      <c r="Y8" s="486">
        <f>indicadores!$D$54</f>
        <v>0.24</v>
      </c>
      <c r="Z8" s="446"/>
      <c r="AA8" s="491">
        <v>5.49</v>
      </c>
      <c r="AB8" s="495" t="s">
        <v>68</v>
      </c>
      <c r="AC8" s="495" t="s">
        <v>69</v>
      </c>
      <c r="AD8" s="495" t="s">
        <v>70</v>
      </c>
      <c r="AE8" s="495" t="s">
        <v>71</v>
      </c>
      <c r="AF8" s="495" t="s">
        <v>72</v>
      </c>
      <c r="AG8" s="495" t="s">
        <v>73</v>
      </c>
      <c r="AH8" s="495" t="s">
        <v>74</v>
      </c>
      <c r="AI8" s="495" t="s">
        <v>75</v>
      </c>
      <c r="AJ8" s="495" t="s">
        <v>76</v>
      </c>
      <c r="AK8" s="495" t="s">
        <v>77</v>
      </c>
      <c r="AL8" s="495" t="s">
        <v>78</v>
      </c>
    </row>
    <row r="9" spans="1:56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0</v>
      </c>
      <c r="O9" s="68">
        <f>+REMA!CV6</f>
        <v>0</v>
      </c>
      <c r="P9" s="68">
        <f>+REMA!CW6</f>
        <v>0</v>
      </c>
      <c r="Q9" s="68">
        <f>+REMA!CX6</f>
        <v>0</v>
      </c>
      <c r="R9" s="68">
        <f>+REMA!CY6</f>
        <v>0</v>
      </c>
      <c r="S9" s="68">
        <f>+REMA!CZ6</f>
        <v>0</v>
      </c>
      <c r="T9" s="68">
        <f>+REMA!DA6</f>
        <v>0</v>
      </c>
      <c r="U9" s="69">
        <f>SUM(I9:T9)</f>
        <v>639</v>
      </c>
      <c r="V9" s="69">
        <f>+Poblacion2024!G6</f>
        <v>11436.638181818184</v>
      </c>
      <c r="W9" s="70">
        <f>IF(V9=0,0,+U9/V9)</f>
        <v>5.5873062506766526E-2</v>
      </c>
      <c r="X9" s="653">
        <v>0.16500000000000001</v>
      </c>
      <c r="Y9" s="653">
        <f>+X9*$Y$8</f>
        <v>3.9600000000000003E-2</v>
      </c>
      <c r="Z9" s="121">
        <f t="shared" ref="Z9:Z16" si="0">IF(+W9/Y9&gt;1,1,+W9/Y9)</f>
        <v>1</v>
      </c>
      <c r="AA9" s="71">
        <f>+Z9*$AA$8/100</f>
        <v>5.4900000000000004E-2</v>
      </c>
      <c r="AB9" s="601">
        <f>X9</f>
        <v>0.16500000000000001</v>
      </c>
      <c r="AC9" s="601">
        <f>(AG9/AE9)</f>
        <v>5.5873062506766526E-2</v>
      </c>
      <c r="AD9" s="602">
        <f>AC9/AB9</f>
        <v>0.33862462125313042</v>
      </c>
      <c r="AE9" s="502">
        <f>V9</f>
        <v>11436.638181818184</v>
      </c>
      <c r="AF9" s="503">
        <f>AE9*AB9</f>
        <v>1887.0453000000005</v>
      </c>
      <c r="AG9" s="502">
        <f>U9</f>
        <v>639</v>
      </c>
      <c r="AH9" s="503">
        <f>AF9/$AI$4</f>
        <v>157.25377500000005</v>
      </c>
      <c r="AI9" s="503">
        <f>AH9*$AI$5</f>
        <v>786.26887500000021</v>
      </c>
      <c r="AJ9" s="503">
        <f>U9</f>
        <v>639</v>
      </c>
      <c r="AK9" s="494">
        <f>AJ9/AI9</f>
        <v>0.81269909100751292</v>
      </c>
      <c r="AL9" s="431">
        <f>(AI9-AJ9)*-1</f>
        <v>-147.26887500000021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0</v>
      </c>
      <c r="O10" s="73">
        <f>+REMA!CV7</f>
        <v>0</v>
      </c>
      <c r="P10" s="73">
        <f>+REMA!CW7</f>
        <v>0</v>
      </c>
      <c r="Q10" s="73">
        <f>+REMA!CX7</f>
        <v>0</v>
      </c>
      <c r="R10" s="73">
        <f>+REMA!CY7</f>
        <v>0</v>
      </c>
      <c r="S10" s="73">
        <f>+REMA!CZ7</f>
        <v>0</v>
      </c>
      <c r="T10" s="73">
        <f>+REMA!DA7</f>
        <v>0</v>
      </c>
      <c r="U10" s="74">
        <f t="shared" ref="U10:U15" si="1">SUM(I10:T10)</f>
        <v>192</v>
      </c>
      <c r="V10" s="74">
        <f>+Poblacion2024!G7</f>
        <v>7025.757575757576</v>
      </c>
      <c r="W10" s="76">
        <f t="shared" ref="W10:W16" si="2">IF(V10=0,0,+U10/V10)</f>
        <v>2.7328013802027172E-2</v>
      </c>
      <c r="X10" s="654">
        <v>0.16500000000000001</v>
      </c>
      <c r="Y10" s="654">
        <f t="shared" ref="Y10:Y16" si="3">+X10*$Y$8</f>
        <v>3.9600000000000003E-2</v>
      </c>
      <c r="Z10" s="125">
        <f t="shared" si="0"/>
        <v>0.69010135863704969</v>
      </c>
      <c r="AA10" s="71">
        <f t="shared" ref="AA10:AA16" si="4">+Z10*$AA$8/100</f>
        <v>3.7886564589174027E-2</v>
      </c>
      <c r="AB10" s="95">
        <f t="shared" ref="AB10:AB16" si="5">X10</f>
        <v>0.16500000000000001</v>
      </c>
      <c r="AC10" s="95">
        <f t="shared" ref="AC10:AC16" si="6">(AG10/AE10)</f>
        <v>2.7328013802027172E-2</v>
      </c>
      <c r="AD10" s="96">
        <f t="shared" ref="AD10:AD16" si="7">AC10/AB10</f>
        <v>0.16562432607289193</v>
      </c>
      <c r="AE10" s="502">
        <f t="shared" ref="AE10:AE16" si="8">V10</f>
        <v>7025.757575757576</v>
      </c>
      <c r="AF10" s="503">
        <f t="shared" ref="AF10:AF16" si="9">AE10*AB10</f>
        <v>1159.25</v>
      </c>
      <c r="AG10" s="502">
        <f t="shared" ref="AG10:AG16" si="10">U10</f>
        <v>192</v>
      </c>
      <c r="AH10" s="503">
        <f t="shared" ref="AH10:AH15" si="11">AF10/$AI$4</f>
        <v>96.604166666666671</v>
      </c>
      <c r="AI10" s="503">
        <f t="shared" ref="AI10:AI15" si="12">AH10*$AI$5</f>
        <v>483.02083333333337</v>
      </c>
      <c r="AJ10" s="503">
        <f t="shared" ref="AJ10:AJ16" si="13">U10</f>
        <v>192</v>
      </c>
      <c r="AK10" s="99">
        <f t="shared" ref="AK10:AK15" si="14">AJ10/AI10</f>
        <v>0.39749838257494069</v>
      </c>
      <c r="AL10" s="431">
        <f t="shared" ref="AL10:AL16" si="15">(AI10-AJ10)*-1</f>
        <v>-291.02083333333337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0</v>
      </c>
      <c r="O11" s="73">
        <f>+REMA!CV8</f>
        <v>0</v>
      </c>
      <c r="P11" s="73">
        <f>+REMA!CW8</f>
        <v>0</v>
      </c>
      <c r="Q11" s="73">
        <f>+REMA!CX8</f>
        <v>0</v>
      </c>
      <c r="R11" s="73">
        <f>+REMA!CY8</f>
        <v>0</v>
      </c>
      <c r="S11" s="73">
        <f>+REMA!CZ8</f>
        <v>0</v>
      </c>
      <c r="T11" s="73">
        <f>+REMA!DA8</f>
        <v>0</v>
      </c>
      <c r="U11" s="74">
        <f t="shared" si="1"/>
        <v>184</v>
      </c>
      <c r="V11" s="74">
        <f>+Poblacion2024!G8</f>
        <v>5541.818181818182</v>
      </c>
      <c r="W11" s="76">
        <f t="shared" si="2"/>
        <v>3.3202099737532804E-2</v>
      </c>
      <c r="X11" s="654">
        <v>0.16500000000000001</v>
      </c>
      <c r="Y11" s="654">
        <f t="shared" si="3"/>
        <v>3.9600000000000003E-2</v>
      </c>
      <c r="Z11" s="125">
        <f t="shared" si="0"/>
        <v>0.8384368620589091</v>
      </c>
      <c r="AA11" s="71">
        <f t="shared" si="4"/>
        <v>4.6030183727034109E-2</v>
      </c>
      <c r="AB11" s="95">
        <f t="shared" si="5"/>
        <v>0.16500000000000001</v>
      </c>
      <c r="AC11" s="95">
        <f t="shared" si="6"/>
        <v>3.3202099737532804E-2</v>
      </c>
      <c r="AD11" s="96">
        <f t="shared" si="7"/>
        <v>0.20122484689413819</v>
      </c>
      <c r="AE11" s="502">
        <f t="shared" si="8"/>
        <v>5541.818181818182</v>
      </c>
      <c r="AF11" s="503">
        <f t="shared" si="9"/>
        <v>914.40000000000009</v>
      </c>
      <c r="AG11" s="502">
        <f t="shared" si="10"/>
        <v>184</v>
      </c>
      <c r="AH11" s="503">
        <f t="shared" si="11"/>
        <v>76.2</v>
      </c>
      <c r="AI11" s="503">
        <f t="shared" si="12"/>
        <v>381</v>
      </c>
      <c r="AJ11" s="503">
        <f t="shared" si="13"/>
        <v>184</v>
      </c>
      <c r="AK11" s="99">
        <f t="shared" si="14"/>
        <v>0.48293963254593175</v>
      </c>
      <c r="AL11" s="431">
        <f t="shared" si="15"/>
        <v>-197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0</v>
      </c>
      <c r="O12" s="73">
        <f>+REMA!CV9</f>
        <v>0</v>
      </c>
      <c r="P12" s="73">
        <f>+REMA!CW9</f>
        <v>0</v>
      </c>
      <c r="Q12" s="73">
        <f>+REMA!CX9</f>
        <v>0</v>
      </c>
      <c r="R12" s="73">
        <f>+REMA!CY9</f>
        <v>0</v>
      </c>
      <c r="S12" s="73">
        <f>+REMA!CZ9</f>
        <v>0</v>
      </c>
      <c r="T12" s="73">
        <f>+REMA!DA9</f>
        <v>0</v>
      </c>
      <c r="U12" s="74">
        <f t="shared" si="1"/>
        <v>240</v>
      </c>
      <c r="V12" s="74">
        <f>+Poblacion2024!G9</f>
        <v>5603.8538181818194</v>
      </c>
      <c r="W12" s="76">
        <f t="shared" si="2"/>
        <v>4.2827669633585919E-2</v>
      </c>
      <c r="X12" s="654">
        <v>0.16500000000000001</v>
      </c>
      <c r="Y12" s="654">
        <f t="shared" si="3"/>
        <v>3.9600000000000003E-2</v>
      </c>
      <c r="Z12" s="125">
        <f t="shared" si="0"/>
        <v>1</v>
      </c>
      <c r="AA12" s="71">
        <f t="shared" si="4"/>
        <v>5.4900000000000004E-2</v>
      </c>
      <c r="AB12" s="95">
        <f t="shared" si="5"/>
        <v>0.16500000000000001</v>
      </c>
      <c r="AC12" s="95">
        <f t="shared" si="6"/>
        <v>4.2827669633585919E-2</v>
      </c>
      <c r="AD12" s="96">
        <f t="shared" si="7"/>
        <v>0.25956163414294497</v>
      </c>
      <c r="AE12" s="502">
        <f t="shared" si="8"/>
        <v>5603.8538181818194</v>
      </c>
      <c r="AF12" s="503">
        <f t="shared" si="9"/>
        <v>924.63588000000027</v>
      </c>
      <c r="AG12" s="502">
        <f t="shared" si="10"/>
        <v>240</v>
      </c>
      <c r="AH12" s="503">
        <f t="shared" si="11"/>
        <v>77.052990000000023</v>
      </c>
      <c r="AI12" s="503">
        <f t="shared" si="12"/>
        <v>385.26495000000011</v>
      </c>
      <c r="AJ12" s="503">
        <f t="shared" si="13"/>
        <v>240</v>
      </c>
      <c r="AK12" s="99">
        <f t="shared" si="14"/>
        <v>0.62294792194306781</v>
      </c>
      <c r="AL12" s="431">
        <f t="shared" si="15"/>
        <v>-145.26495000000011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0</v>
      </c>
      <c r="O13" s="73">
        <f>+REMA!CV10</f>
        <v>0</v>
      </c>
      <c r="P13" s="73">
        <f>+REMA!CW10</f>
        <v>0</v>
      </c>
      <c r="Q13" s="73">
        <f>+REMA!CX10</f>
        <v>0</v>
      </c>
      <c r="R13" s="73">
        <f>+REMA!CY10</f>
        <v>0</v>
      </c>
      <c r="S13" s="73">
        <f>+REMA!CZ10</f>
        <v>0</v>
      </c>
      <c r="T13" s="73">
        <f>+REMA!DA10</f>
        <v>0</v>
      </c>
      <c r="U13" s="74">
        <f t="shared" si="1"/>
        <v>262</v>
      </c>
      <c r="V13" s="74">
        <f>+Poblacion2024!G10</f>
        <v>5608.787878787879</v>
      </c>
      <c r="W13" s="76">
        <f t="shared" si="2"/>
        <v>4.6712410178831917E-2</v>
      </c>
      <c r="X13" s="654">
        <v>0.16500000000000001</v>
      </c>
      <c r="Y13" s="654">
        <f t="shared" si="3"/>
        <v>3.9600000000000003E-2</v>
      </c>
      <c r="Z13" s="125">
        <f t="shared" si="0"/>
        <v>1</v>
      </c>
      <c r="AA13" s="71">
        <f t="shared" si="4"/>
        <v>5.4900000000000004E-2</v>
      </c>
      <c r="AB13" s="95">
        <f t="shared" si="5"/>
        <v>0.16500000000000001</v>
      </c>
      <c r="AC13" s="95">
        <f t="shared" si="6"/>
        <v>4.6712410178831917E-2</v>
      </c>
      <c r="AD13" s="96">
        <f t="shared" si="7"/>
        <v>0.28310551623534497</v>
      </c>
      <c r="AE13" s="502">
        <f t="shared" si="8"/>
        <v>5608.787878787879</v>
      </c>
      <c r="AF13" s="503">
        <f t="shared" si="9"/>
        <v>925.45</v>
      </c>
      <c r="AG13" s="502">
        <f t="shared" si="10"/>
        <v>262</v>
      </c>
      <c r="AH13" s="503">
        <f t="shared" si="11"/>
        <v>77.120833333333337</v>
      </c>
      <c r="AI13" s="503">
        <f t="shared" si="12"/>
        <v>385.60416666666669</v>
      </c>
      <c r="AJ13" s="503">
        <f t="shared" si="13"/>
        <v>262</v>
      </c>
      <c r="AK13" s="99">
        <f t="shared" si="14"/>
        <v>0.6794532389648279</v>
      </c>
      <c r="AL13" s="431">
        <f t="shared" si="15"/>
        <v>-123.60416666666669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0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6</v>
      </c>
      <c r="V14" s="74">
        <f>+Poblacion2024!G11</f>
        <v>150.63454545454545</v>
      </c>
      <c r="W14" s="76">
        <f t="shared" si="2"/>
        <v>3.9831500681963575E-2</v>
      </c>
      <c r="X14" s="654">
        <v>0.16500000000000001</v>
      </c>
      <c r="Y14" s="654">
        <f t="shared" si="3"/>
        <v>3.9600000000000003E-2</v>
      </c>
      <c r="Z14" s="125">
        <f t="shared" si="0"/>
        <v>1</v>
      </c>
      <c r="AA14" s="71">
        <f t="shared" si="4"/>
        <v>5.4900000000000004E-2</v>
      </c>
      <c r="AB14" s="95">
        <f t="shared" si="5"/>
        <v>0.16500000000000001</v>
      </c>
      <c r="AC14" s="95">
        <f t="shared" si="6"/>
        <v>3.9831500681963575E-2</v>
      </c>
      <c r="AD14" s="96">
        <f t="shared" si="7"/>
        <v>0.24140303443614286</v>
      </c>
      <c r="AE14" s="502">
        <f t="shared" si="8"/>
        <v>150.63454545454545</v>
      </c>
      <c r="AF14" s="503">
        <f t="shared" si="9"/>
        <v>24.854700000000001</v>
      </c>
      <c r="AG14" s="502">
        <f t="shared" si="10"/>
        <v>6</v>
      </c>
      <c r="AH14" s="503">
        <f t="shared" si="11"/>
        <v>2.0712250000000001</v>
      </c>
      <c r="AI14" s="503">
        <f t="shared" si="12"/>
        <v>10.356125</v>
      </c>
      <c r="AJ14" s="503">
        <f t="shared" si="13"/>
        <v>6</v>
      </c>
      <c r="AK14" s="99">
        <f t="shared" si="14"/>
        <v>0.57936728264674286</v>
      </c>
      <c r="AL14" s="431">
        <f t="shared" si="15"/>
        <v>-4.3561250000000005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+REMA!CP12</f>
        <v>68</v>
      </c>
      <c r="J15" s="114">
        <f>+REMA!CQ12</f>
        <v>18</v>
      </c>
      <c r="K15" s="114">
        <f>+REMA!CR12</f>
        <v>41</v>
      </c>
      <c r="L15" s="114">
        <f>+REMA!CS12</f>
        <v>34</v>
      </c>
      <c r="M15" s="114">
        <f>+REMA!CT12</f>
        <v>22</v>
      </c>
      <c r="N15" s="114">
        <f>+REMA!CU12</f>
        <v>0</v>
      </c>
      <c r="O15" s="114">
        <f>+REMA!CV12</f>
        <v>0</v>
      </c>
      <c r="P15" s="114">
        <f>+REMA!CW12</f>
        <v>0</v>
      </c>
      <c r="Q15" s="114">
        <f>+REMA!CX12</f>
        <v>0</v>
      </c>
      <c r="R15" s="114">
        <f>+REMA!CY12</f>
        <v>0</v>
      </c>
      <c r="S15" s="114">
        <f>+REMA!CZ12</f>
        <v>0</v>
      </c>
      <c r="T15" s="114">
        <f>+REMA!DA12</f>
        <v>0</v>
      </c>
      <c r="U15" s="115">
        <f t="shared" si="1"/>
        <v>183</v>
      </c>
      <c r="V15" s="115">
        <f>+Poblacion2024!G12</f>
        <v>1478.8734545454549</v>
      </c>
      <c r="W15" s="582">
        <f t="shared" si="2"/>
        <v>0.12374283914389869</v>
      </c>
      <c r="X15" s="654">
        <v>0.16500000000000001</v>
      </c>
      <c r="Y15" s="654">
        <f t="shared" si="3"/>
        <v>3.9600000000000003E-2</v>
      </c>
      <c r="Z15" s="134">
        <f t="shared" si="0"/>
        <v>1</v>
      </c>
      <c r="AA15" s="71">
        <f t="shared" si="4"/>
        <v>5.4900000000000004E-2</v>
      </c>
      <c r="AB15" s="560">
        <f t="shared" si="5"/>
        <v>0.16500000000000001</v>
      </c>
      <c r="AC15" s="560">
        <f t="shared" si="6"/>
        <v>0.12374283914389869</v>
      </c>
      <c r="AD15" s="561">
        <f t="shared" si="7"/>
        <v>0.74995660087211324</v>
      </c>
      <c r="AE15" s="604">
        <f t="shared" si="8"/>
        <v>1478.8734545454549</v>
      </c>
      <c r="AF15" s="605">
        <f t="shared" si="9"/>
        <v>244.01412000000008</v>
      </c>
      <c r="AG15" s="604">
        <f t="shared" si="10"/>
        <v>183</v>
      </c>
      <c r="AH15" s="503">
        <f t="shared" si="11"/>
        <v>20.334510000000005</v>
      </c>
      <c r="AI15" s="605">
        <f t="shared" si="12"/>
        <v>101.67255000000003</v>
      </c>
      <c r="AJ15" s="605">
        <f t="shared" si="13"/>
        <v>183</v>
      </c>
      <c r="AK15" s="547">
        <f t="shared" si="14"/>
        <v>1.7998958420930717</v>
      </c>
      <c r="AL15" s="431">
        <f t="shared" si="15"/>
        <v>81.32744999999997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6"/>
      <c r="G16" s="544" t="s">
        <v>15</v>
      </c>
      <c r="H16" s="85"/>
      <c r="I16" s="85">
        <f t="shared" ref="I16:T16" si="16">SUM(I9:I15)</f>
        <v>457</v>
      </c>
      <c r="J16" s="85">
        <f t="shared" si="16"/>
        <v>235</v>
      </c>
      <c r="K16" s="85">
        <f t="shared" si="16"/>
        <v>366</v>
      </c>
      <c r="L16" s="85">
        <f t="shared" si="16"/>
        <v>334</v>
      </c>
      <c r="M16" s="85">
        <f t="shared" si="16"/>
        <v>314</v>
      </c>
      <c r="N16" s="85">
        <f t="shared" si="16"/>
        <v>0</v>
      </c>
      <c r="O16" s="85">
        <f t="shared" si="16"/>
        <v>0</v>
      </c>
      <c r="P16" s="85">
        <f t="shared" si="16"/>
        <v>0</v>
      </c>
      <c r="Q16" s="85">
        <f t="shared" si="16"/>
        <v>0</v>
      </c>
      <c r="R16" s="85">
        <f t="shared" si="16"/>
        <v>0</v>
      </c>
      <c r="S16" s="85">
        <f t="shared" si="16"/>
        <v>0</v>
      </c>
      <c r="T16" s="85">
        <f t="shared" si="16"/>
        <v>0</v>
      </c>
      <c r="U16" s="85">
        <f>SUM(U9:U15)</f>
        <v>1706</v>
      </c>
      <c r="V16" s="542">
        <f>SUM(V9:V15)</f>
        <v>36846.36363636364</v>
      </c>
      <c r="W16" s="588">
        <f t="shared" si="2"/>
        <v>4.6300362685351946E-2</v>
      </c>
      <c r="X16" s="655">
        <v>0.16500000000000001</v>
      </c>
      <c r="Y16" s="655">
        <f t="shared" si="3"/>
        <v>3.9600000000000003E-2</v>
      </c>
      <c r="Z16" s="618">
        <f t="shared" si="0"/>
        <v>1</v>
      </c>
      <c r="AA16" s="71">
        <f t="shared" si="4"/>
        <v>5.4900000000000004E-2</v>
      </c>
      <c r="AB16" s="566">
        <f t="shared" si="5"/>
        <v>0.16500000000000001</v>
      </c>
      <c r="AC16" s="566">
        <f t="shared" si="6"/>
        <v>4.6300362685351946E-2</v>
      </c>
      <c r="AD16" s="567">
        <f t="shared" si="7"/>
        <v>0.28060825869910272</v>
      </c>
      <c r="AE16" s="607">
        <f t="shared" si="8"/>
        <v>36846.36363636364</v>
      </c>
      <c r="AF16" s="607">
        <f t="shared" si="9"/>
        <v>6079.6500000000005</v>
      </c>
      <c r="AG16" s="607">
        <f t="shared" si="10"/>
        <v>1706</v>
      </c>
      <c r="AH16" s="608">
        <f>AF16/$AI$4</f>
        <v>506.63750000000005</v>
      </c>
      <c r="AI16" s="607">
        <f>AH16*$AI$5</f>
        <v>2533.1875</v>
      </c>
      <c r="AJ16" s="607">
        <f t="shared" si="13"/>
        <v>1706</v>
      </c>
      <c r="AK16" s="552">
        <f>AJ16/AI16</f>
        <v>0.67345982087784662</v>
      </c>
      <c r="AL16" s="431">
        <f t="shared" si="15"/>
        <v>-827.1875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2"/>
      <c r="AC17" s="122"/>
    </row>
    <row r="18" spans="3:29" ht="17.25" hidden="1" x14ac:dyDescent="0.3">
      <c r="G18" s="16" t="s">
        <v>16</v>
      </c>
      <c r="H18" s="129" t="e">
        <f>+REMA!#REF!</f>
        <v>#REF!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>
        <v>4869.7102613939387</v>
      </c>
      <c r="W18" s="131" t="e">
        <f>IF(V18=0,0,+H18/V18)</f>
        <v>#REF!</v>
      </c>
      <c r="X18" s="120">
        <v>0.22</v>
      </c>
      <c r="Y18" s="70">
        <f t="shared" ref="Y18:Y21" si="17">+X18*0.6</f>
        <v>0.13200000000000001</v>
      </c>
      <c r="Z18" s="132" t="e">
        <f>IF(+W18/Y18&gt;1,1,+W18/Y18)</f>
        <v>#REF!</v>
      </c>
      <c r="AA18" s="71" t="e">
        <f t="shared" ref="AA18:AA21" si="18">+Z18*5.21/100</f>
        <v>#REF!</v>
      </c>
      <c r="AB18" s="122"/>
      <c r="AC18" s="123"/>
    </row>
    <row r="19" spans="3:29" ht="17.25" hidden="1" x14ac:dyDescent="0.3">
      <c r="G19" s="19" t="s">
        <v>17</v>
      </c>
      <c r="H19" s="114" t="e">
        <f>+REMA!#REF!</f>
        <v>#REF!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5">
        <v>3869.8163636363638</v>
      </c>
      <c r="W19" s="133" t="e">
        <f>IF(V19=0,0,+H19/V19)</f>
        <v>#REF!</v>
      </c>
      <c r="X19" s="124">
        <v>0.22</v>
      </c>
      <c r="Y19" s="76">
        <f t="shared" si="17"/>
        <v>0.13200000000000001</v>
      </c>
      <c r="Z19" s="134" t="e">
        <f>IF(+W19/Y19&gt;1,1,+W19/Y19)</f>
        <v>#REF!</v>
      </c>
      <c r="AA19" s="77" t="e">
        <f t="shared" si="18"/>
        <v>#REF!</v>
      </c>
      <c r="AB19" s="122"/>
      <c r="AC19" s="123"/>
    </row>
    <row r="20" spans="3:29" ht="17.25" hidden="1" x14ac:dyDescent="0.3">
      <c r="G20" s="28" t="s">
        <v>18</v>
      </c>
      <c r="H20" s="114" t="e">
        <f>+REMA!#REF!</f>
        <v>#REF!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5">
        <v>675.03217484334436</v>
      </c>
      <c r="W20" s="133" t="e">
        <f>IF(V20=0,0,+H20/V20)</f>
        <v>#REF!</v>
      </c>
      <c r="X20" s="124">
        <v>0.22</v>
      </c>
      <c r="Y20" s="76">
        <f t="shared" si="17"/>
        <v>0.13200000000000001</v>
      </c>
      <c r="Z20" s="134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19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>
        <v>5765.9438630908926</v>
      </c>
      <c r="W21" s="126" t="e">
        <f>IF(V21=0,0,+H21/V21)</f>
        <v>#REF!</v>
      </c>
      <c r="X21" s="127">
        <v>0.22</v>
      </c>
      <c r="Y21" s="83">
        <f t="shared" si="17"/>
        <v>0.13200000000000001</v>
      </c>
      <c r="Z21" s="128" t="e">
        <f>IF(+W21/Y21&gt;1,1,+W21/Y21)</f>
        <v>#REF!</v>
      </c>
      <c r="AA21" s="84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20</v>
      </c>
      <c r="H23" s="85" t="e">
        <f>SUM(H9:H21)</f>
        <v>#REF!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>
        <f>SUM(V9:V21)</f>
        <v>88873.229935691823</v>
      </c>
      <c r="W23" s="135" t="e">
        <f>IF(V23=0,0,+H23/V23)</f>
        <v>#REF!</v>
      </c>
    </row>
    <row r="24" spans="3:29" ht="15.75" thickBot="1" x14ac:dyDescent="0.3"/>
    <row r="25" spans="3:29" ht="18" thickBot="1" x14ac:dyDescent="0.35">
      <c r="G25" s="766" t="s">
        <v>20</v>
      </c>
      <c r="U25" s="614">
        <v>1334</v>
      </c>
      <c r="V25" s="614">
        <v>36846.36363636364</v>
      </c>
    </row>
    <row r="26" spans="3:29" ht="15.75" thickBot="1" x14ac:dyDescent="0.3">
      <c r="G26" s="6"/>
      <c r="H26" s="6"/>
    </row>
    <row r="27" spans="3:29" ht="18" thickBot="1" x14ac:dyDescent="0.35">
      <c r="G27" s="766" t="s">
        <v>514</v>
      </c>
      <c r="U27" s="15">
        <f>U16-U25</f>
        <v>372</v>
      </c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topLeftCell="H1" zoomScale="60" zoomScaleNormal="60" workbookViewId="0">
      <selection activeCell="AB35" sqref="AB3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2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7" t="str">
        <f>+NOMBRE!B7</f>
        <v>ENERO - MAYO 2024</v>
      </c>
      <c r="Y2" s="847"/>
      <c r="Z2" s="847"/>
      <c r="AA2" s="847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848" t="s">
        <v>529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49"/>
      <c r="W4" s="849"/>
      <c r="X4" s="849"/>
      <c r="Y4" s="849"/>
      <c r="Z4" s="849"/>
      <c r="AA4" s="850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2" ht="23.25" customHeight="1" thickBot="1" x14ac:dyDescent="0.3">
      <c r="G5" s="58"/>
      <c r="H5" s="851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3"/>
      <c r="AB5" s="5"/>
      <c r="AC5" s="5"/>
      <c r="AE5" s="6"/>
      <c r="AH5" s="88" t="s">
        <v>46</v>
      </c>
      <c r="AI5" s="89">
        <f>meta3!AB2</f>
        <v>5</v>
      </c>
      <c r="AJ5" s="6"/>
      <c r="AK5" s="5"/>
      <c r="AL5" s="5"/>
      <c r="AR5" s="138" t="s">
        <v>86</v>
      </c>
      <c r="AS5" s="138"/>
      <c r="AT5" s="138" t="s">
        <v>87</v>
      </c>
    </row>
    <row r="6" spans="1:52" ht="51.75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4"/>
      <c r="V6" s="8" t="s">
        <v>5</v>
      </c>
      <c r="W6" s="854" t="s">
        <v>6</v>
      </c>
      <c r="X6" s="891">
        <f>+NOMBRE!$B$9</f>
        <v>2024</v>
      </c>
      <c r="Y6" s="892"/>
      <c r="Z6" s="858" t="s">
        <v>7</v>
      </c>
      <c r="AA6" s="859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890"/>
      <c r="AR6" s="890"/>
      <c r="AS6" s="890"/>
      <c r="AT6" s="890"/>
    </row>
    <row r="7" spans="1:52" ht="85.5" customHeight="1" thickBot="1" x14ac:dyDescent="0.3">
      <c r="G7" s="58"/>
      <c r="H7" s="893" t="s">
        <v>474</v>
      </c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4"/>
      <c r="U7" s="895"/>
      <c r="V7" s="139" t="s">
        <v>89</v>
      </c>
      <c r="W7" s="855"/>
      <c r="X7" s="12" t="s">
        <v>11</v>
      </c>
      <c r="Y7" s="12" t="s">
        <v>472</v>
      </c>
      <c r="Z7" s="14" t="s">
        <v>13</v>
      </c>
      <c r="AA7" s="14" t="s">
        <v>515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4" t="s">
        <v>437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320" t="s">
        <v>499</v>
      </c>
      <c r="AR7" s="320" t="s">
        <v>500</v>
      </c>
      <c r="AS7" s="320" t="s">
        <v>506</v>
      </c>
      <c r="AT7" s="320" t="s">
        <v>501</v>
      </c>
      <c r="AV7" s="141"/>
      <c r="AW7" s="142"/>
      <c r="AX7" s="142"/>
      <c r="AY7" s="142"/>
      <c r="AZ7" s="142"/>
    </row>
    <row r="8" spans="1:52" ht="85.5" customHeight="1" thickBot="1" x14ac:dyDescent="0.3">
      <c r="G8" s="609" t="s">
        <v>438</v>
      </c>
      <c r="H8" s="441"/>
      <c r="I8" s="424" t="s">
        <v>189</v>
      </c>
      <c r="J8" s="424" t="s">
        <v>190</v>
      </c>
      <c r="K8" s="424" t="s">
        <v>191</v>
      </c>
      <c r="L8" s="424" t="s">
        <v>192</v>
      </c>
      <c r="M8" s="424" t="s">
        <v>193</v>
      </c>
      <c r="N8" s="424" t="s">
        <v>194</v>
      </c>
      <c r="O8" s="424" t="s">
        <v>195</v>
      </c>
      <c r="P8" s="424" t="s">
        <v>196</v>
      </c>
      <c r="Q8" s="424" t="s">
        <v>428</v>
      </c>
      <c r="R8" s="424" t="s">
        <v>198</v>
      </c>
      <c r="S8" s="424" t="s">
        <v>199</v>
      </c>
      <c r="T8" s="424" t="s">
        <v>200</v>
      </c>
      <c r="U8" s="427" t="s">
        <v>201</v>
      </c>
      <c r="V8" s="448"/>
      <c r="W8" s="443"/>
      <c r="X8" s="686">
        <f>indicadores!E23</f>
        <v>0.1119</v>
      </c>
      <c r="Y8" s="486">
        <f>indicadores!$D$54</f>
        <v>0.24</v>
      </c>
      <c r="Z8" s="444"/>
      <c r="AA8" s="767">
        <v>3.3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715"/>
      <c r="AR8" s="715"/>
      <c r="AS8" s="715"/>
      <c r="AT8" s="723" t="s">
        <v>507</v>
      </c>
      <c r="AV8" s="141"/>
      <c r="AW8" s="142"/>
      <c r="AX8" s="142"/>
      <c r="AY8" s="142"/>
      <c r="AZ8" s="142"/>
    </row>
    <row r="9" spans="1:52" ht="22.5" customHeight="1" x14ac:dyDescent="0.3">
      <c r="A9"/>
      <c r="B9"/>
      <c r="C9" s="64"/>
      <c r="D9" s="65"/>
      <c r="E9" s="66"/>
      <c r="F9" s="106"/>
      <c r="G9" s="19" t="s">
        <v>439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0</v>
      </c>
      <c r="O9" s="68">
        <f>+REMA!K6</f>
        <v>0</v>
      </c>
      <c r="P9" s="68">
        <f>+REMA!L6</f>
        <v>0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9">
        <f>SUM(I9:T9)</f>
        <v>258</v>
      </c>
      <c r="V9" s="68">
        <f>AT9</f>
        <v>11420.214999999998</v>
      </c>
      <c r="W9" s="509">
        <f>IF(V9=0,0,+U9/V9)</f>
        <v>2.2591518636032686E-2</v>
      </c>
      <c r="X9" s="522">
        <f>$X$8</f>
        <v>0.1119</v>
      </c>
      <c r="Y9" s="37">
        <f>+X9*$Y$8</f>
        <v>2.6855999999999998E-2</v>
      </c>
      <c r="Z9" s="110">
        <f t="shared" ref="Z9:Z16" si="0">IF(+W9/Y9&gt;1,1,+W9/Y9)</f>
        <v>0.84120936237833954</v>
      </c>
      <c r="AA9" s="110">
        <f>+Z9*$AA$8/100</f>
        <v>2.7759908958485204E-2</v>
      </c>
      <c r="AB9" s="146">
        <f>X9</f>
        <v>0.1119</v>
      </c>
      <c r="AC9" s="146">
        <f>(AG9/AE9)</f>
        <v>2.2591518636032686E-2</v>
      </c>
      <c r="AD9" s="147">
        <f>AC9/AB9</f>
        <v>0.20189024697080149</v>
      </c>
      <c r="AE9" s="97">
        <f>V9</f>
        <v>11420.214999999998</v>
      </c>
      <c r="AF9" s="98">
        <f>AE9*AB9</f>
        <v>1277.9220584999998</v>
      </c>
      <c r="AG9" s="97">
        <f>U9</f>
        <v>258</v>
      </c>
      <c r="AH9" s="98">
        <f>AF9/$AI$4</f>
        <v>106.49350487499999</v>
      </c>
      <c r="AI9" s="98">
        <f>AH9*$AI$5</f>
        <v>532.46752437499993</v>
      </c>
      <c r="AJ9" s="98">
        <f>U9</f>
        <v>258</v>
      </c>
      <c r="AK9" s="99">
        <f>AJ9/AI9</f>
        <v>0.48453659272992361</v>
      </c>
      <c r="AL9" s="431">
        <f>(AI9-AJ9)*-1</f>
        <v>-274.46752437499993</v>
      </c>
      <c r="AP9" s="143"/>
      <c r="AQ9" s="724">
        <f>SUM('[1]INSCRITA PERCAPITA 2024'!$CF$34:$CN$34)</f>
        <v>12283.214999999998</v>
      </c>
      <c r="AR9" s="722">
        <f>REMP!G6</f>
        <v>763</v>
      </c>
      <c r="AS9" s="722">
        <f>REMP!M6</f>
        <v>100</v>
      </c>
      <c r="AT9" s="722">
        <f>+AQ9-AR9-AS9</f>
        <v>11420.214999999998</v>
      </c>
      <c r="AU9" s="15"/>
      <c r="AV9" s="15"/>
      <c r="AW9" s="15"/>
      <c r="AX9" s="15"/>
      <c r="AY9" s="15"/>
    </row>
    <row r="10" spans="1:52" ht="15" customHeight="1" x14ac:dyDescent="0.3">
      <c r="A10"/>
      <c r="B10"/>
      <c r="C10" s="64"/>
      <c r="D10" s="65"/>
      <c r="E10" s="66"/>
      <c r="F10" s="106"/>
      <c r="G10" s="19" t="s">
        <v>440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0</v>
      </c>
      <c r="O10" s="73">
        <f>+REMA!K7</f>
        <v>0</v>
      </c>
      <c r="P10" s="73">
        <f>+REMA!L7</f>
        <v>0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80">
        <f t="shared" ref="U10:U15" si="1">SUM(I10:T10)</f>
        <v>279</v>
      </c>
      <c r="V10" s="73">
        <f>AT10</f>
        <v>7261</v>
      </c>
      <c r="W10" s="510">
        <f t="shared" ref="W10:W16" si="2">IF(V10=0,0,+U10/V10)</f>
        <v>3.8424459440848366E-2</v>
      </c>
      <c r="X10" s="523">
        <f t="shared" ref="X10:X16" si="3">$X$8</f>
        <v>0.1119</v>
      </c>
      <c r="Y10" s="42">
        <f t="shared" ref="Y10:Y16" si="4">+X10*$Y$8</f>
        <v>2.6855999999999998E-2</v>
      </c>
      <c r="Z10" s="113">
        <f t="shared" si="0"/>
        <v>1</v>
      </c>
      <c r="AA10" s="113">
        <f t="shared" ref="AA10:AA16" si="5">+Z10*$AA$8/100</f>
        <v>3.3000000000000002E-2</v>
      </c>
      <c r="AB10" s="146">
        <f t="shared" ref="AB10:AB16" si="6">X10</f>
        <v>0.1119</v>
      </c>
      <c r="AC10" s="146">
        <f t="shared" ref="AC10:AC16" si="7">(AG10/AE10)</f>
        <v>3.8424459440848366E-2</v>
      </c>
      <c r="AD10" s="147">
        <f t="shared" ref="AD10:AD16" si="8">AC10/AB10</f>
        <v>0.34338212190213019</v>
      </c>
      <c r="AE10" s="97">
        <f t="shared" ref="AE10:AE16" si="9">V10</f>
        <v>7261</v>
      </c>
      <c r="AF10" s="98">
        <f t="shared" ref="AF10:AF16" si="10">AE10*AB10</f>
        <v>812.5059</v>
      </c>
      <c r="AG10" s="97">
        <f t="shared" ref="AG10:AG16" si="11">U10</f>
        <v>279</v>
      </c>
      <c r="AH10" s="98">
        <f t="shared" ref="AH10:AH15" si="12">AF10/$AI$4</f>
        <v>67.708825000000004</v>
      </c>
      <c r="AI10" s="98">
        <f t="shared" ref="AI10:AI16" si="13">AH10*$AI$5</f>
        <v>338.54412500000001</v>
      </c>
      <c r="AJ10" s="98">
        <f t="shared" ref="AJ10:AJ16" si="14">U10</f>
        <v>279</v>
      </c>
      <c r="AK10" s="99">
        <f t="shared" ref="AK10:AK16" si="15">AJ10/AI10</f>
        <v>0.82411709256511245</v>
      </c>
      <c r="AL10" s="431">
        <f t="shared" ref="AL10:AL16" si="16">(AI10-AJ10)*-1</f>
        <v>-59.544125000000008</v>
      </c>
      <c r="AP10" s="143"/>
      <c r="AQ10" s="724">
        <f>SUM('[1]INSCRITA PERCAPITA 2024'!$CF$35:$CN$35)</f>
        <v>7850</v>
      </c>
      <c r="AR10" s="722">
        <f>REMP!G7</f>
        <v>500</v>
      </c>
      <c r="AS10" s="722">
        <f>REMP!M7</f>
        <v>89</v>
      </c>
      <c r="AT10" s="722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x14ac:dyDescent="0.3">
      <c r="A11"/>
      <c r="B11"/>
      <c r="C11" s="64"/>
      <c r="D11" s="65"/>
      <c r="E11" s="66"/>
      <c r="F11" s="106"/>
      <c r="G11" s="19" t="s">
        <v>441</v>
      </c>
      <c r="H11" s="73"/>
      <c r="I11" s="73">
        <f>+REMA!E8</f>
        <v>53</v>
      </c>
      <c r="J11" s="73">
        <f>+REMA!F8</f>
        <v>50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0</v>
      </c>
      <c r="O11" s="73">
        <f>+REMA!K8</f>
        <v>0</v>
      </c>
      <c r="P11" s="73">
        <f>+REMA!L8</f>
        <v>0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80">
        <f t="shared" si="1"/>
        <v>313</v>
      </c>
      <c r="V11" s="73">
        <f t="shared" ref="V11:V15" si="18">AT11</f>
        <v>6343</v>
      </c>
      <c r="W11" s="510">
        <f t="shared" si="2"/>
        <v>4.9345735456408642E-2</v>
      </c>
      <c r="X11" s="523">
        <f t="shared" si="3"/>
        <v>0.1119</v>
      </c>
      <c r="Y11" s="42">
        <f t="shared" si="4"/>
        <v>2.6855999999999998E-2</v>
      </c>
      <c r="Z11" s="113">
        <f t="shared" si="0"/>
        <v>1</v>
      </c>
      <c r="AA11" s="113">
        <f t="shared" si="5"/>
        <v>3.3000000000000002E-2</v>
      </c>
      <c r="AB11" s="146">
        <f t="shared" si="6"/>
        <v>0.1119</v>
      </c>
      <c r="AC11" s="146">
        <f t="shared" si="7"/>
        <v>4.9345735456408642E-2</v>
      </c>
      <c r="AD11" s="147">
        <f t="shared" si="8"/>
        <v>0.44098065644690476</v>
      </c>
      <c r="AE11" s="97">
        <f t="shared" si="9"/>
        <v>6343</v>
      </c>
      <c r="AF11" s="98">
        <f t="shared" si="10"/>
        <v>709.7817</v>
      </c>
      <c r="AG11" s="97">
        <f t="shared" si="11"/>
        <v>313</v>
      </c>
      <c r="AH11" s="98">
        <f t="shared" si="12"/>
        <v>59.148474999999998</v>
      </c>
      <c r="AI11" s="98">
        <f t="shared" si="13"/>
        <v>295.74237499999998</v>
      </c>
      <c r="AJ11" s="98">
        <f t="shared" si="14"/>
        <v>313</v>
      </c>
      <c r="AK11" s="99">
        <f t="shared" si="15"/>
        <v>1.0583535754725715</v>
      </c>
      <c r="AL11" s="431">
        <f t="shared" si="16"/>
        <v>17.257625000000019</v>
      </c>
      <c r="AP11" s="143"/>
      <c r="AQ11" s="724">
        <f>SUM('[1]INSCRITA PERCAPITA 2024'!$CF$38:$CN$38)</f>
        <v>6728</v>
      </c>
      <c r="AR11" s="722">
        <f>REMP!G8</f>
        <v>304</v>
      </c>
      <c r="AS11" s="722">
        <f>REMP!M8</f>
        <v>81</v>
      </c>
      <c r="AT11" s="722">
        <f t="shared" si="17"/>
        <v>6343</v>
      </c>
      <c r="AU11" s="15"/>
      <c r="AV11" s="15"/>
      <c r="AW11" s="15"/>
      <c r="AX11" s="15"/>
      <c r="AY11" s="15"/>
    </row>
    <row r="12" spans="1:52" ht="15" customHeight="1" x14ac:dyDescent="0.3">
      <c r="A12"/>
      <c r="B12"/>
      <c r="C12" s="64"/>
      <c r="D12" s="65"/>
      <c r="E12" s="66"/>
      <c r="F12" s="106"/>
      <c r="G12" s="19" t="s">
        <v>442</v>
      </c>
      <c r="H12" s="73"/>
      <c r="I12" s="73">
        <f>+REMA!E9</f>
        <v>129</v>
      </c>
      <c r="J12" s="73">
        <f>+REMA!F9</f>
        <v>67</v>
      </c>
      <c r="K12" s="73">
        <f>+REMA!G9</f>
        <v>41</v>
      </c>
      <c r="L12" s="73">
        <f>+REMA!H9</f>
        <v>38</v>
      </c>
      <c r="M12" s="73">
        <f>+REMA!I9</f>
        <v>34</v>
      </c>
      <c r="N12" s="73">
        <f>+REMA!J9</f>
        <v>0</v>
      </c>
      <c r="O12" s="73">
        <f>+REMA!K9</f>
        <v>0</v>
      </c>
      <c r="P12" s="73">
        <f>+REMA!L9</f>
        <v>0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80">
        <f t="shared" si="1"/>
        <v>309</v>
      </c>
      <c r="V12" s="73">
        <f t="shared" si="18"/>
        <v>5713.6552000000011</v>
      </c>
      <c r="W12" s="510">
        <f t="shared" si="2"/>
        <v>5.4080967293931199E-2</v>
      </c>
      <c r="X12" s="523">
        <f t="shared" si="3"/>
        <v>0.1119</v>
      </c>
      <c r="Y12" s="42">
        <f t="shared" si="4"/>
        <v>2.6855999999999998E-2</v>
      </c>
      <c r="Z12" s="113">
        <f t="shared" si="0"/>
        <v>1</v>
      </c>
      <c r="AA12" s="113">
        <f t="shared" si="5"/>
        <v>3.3000000000000002E-2</v>
      </c>
      <c r="AB12" s="146">
        <f t="shared" si="6"/>
        <v>0.1119</v>
      </c>
      <c r="AC12" s="146">
        <f t="shared" si="7"/>
        <v>5.4080967293931199E-2</v>
      </c>
      <c r="AD12" s="147">
        <f t="shared" si="8"/>
        <v>0.48329729485193207</v>
      </c>
      <c r="AE12" s="97">
        <f t="shared" si="9"/>
        <v>5713.6552000000011</v>
      </c>
      <c r="AF12" s="98">
        <f t="shared" si="10"/>
        <v>639.35801688000015</v>
      </c>
      <c r="AG12" s="97">
        <f t="shared" si="11"/>
        <v>309</v>
      </c>
      <c r="AH12" s="98">
        <f t="shared" si="12"/>
        <v>53.279834740000013</v>
      </c>
      <c r="AI12" s="98">
        <f t="shared" si="13"/>
        <v>266.39917370000006</v>
      </c>
      <c r="AJ12" s="98">
        <f t="shared" si="14"/>
        <v>309</v>
      </c>
      <c r="AK12" s="99">
        <f t="shared" si="15"/>
        <v>1.159913507644637</v>
      </c>
      <c r="AL12" s="431">
        <f t="shared" si="16"/>
        <v>42.600826299999937</v>
      </c>
      <c r="AP12" s="143"/>
      <c r="AQ12" s="724">
        <f>SUM('[1]INSCRITA PERCAPITA 2024'!$CF$37:$CN$37)</f>
        <v>6306.6552000000011</v>
      </c>
      <c r="AR12" s="722">
        <f>REMP!G9</f>
        <v>512</v>
      </c>
      <c r="AS12" s="722">
        <f>REMP!M9</f>
        <v>81</v>
      </c>
      <c r="AT12" s="722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x14ac:dyDescent="0.3">
      <c r="A13"/>
      <c r="B13"/>
      <c r="C13" s="64"/>
      <c r="D13" s="65"/>
      <c r="E13" s="66"/>
      <c r="F13" s="106"/>
      <c r="G13" s="19" t="s">
        <v>443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0</v>
      </c>
      <c r="O13" s="73">
        <f>+REMA!K10</f>
        <v>0</v>
      </c>
      <c r="P13" s="73">
        <f>+REMA!L10</f>
        <v>0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80">
        <f t="shared" si="1"/>
        <v>386</v>
      </c>
      <c r="V13" s="73">
        <f t="shared" si="18"/>
        <v>5509</v>
      </c>
      <c r="W13" s="510">
        <f t="shared" si="2"/>
        <v>7.0067162824469051E-2</v>
      </c>
      <c r="X13" s="523">
        <f t="shared" si="3"/>
        <v>0.1119</v>
      </c>
      <c r="Y13" s="42">
        <f t="shared" si="4"/>
        <v>2.6855999999999998E-2</v>
      </c>
      <c r="Z13" s="113">
        <f t="shared" si="0"/>
        <v>1</v>
      </c>
      <c r="AA13" s="113">
        <f t="shared" si="5"/>
        <v>3.3000000000000002E-2</v>
      </c>
      <c r="AB13" s="146">
        <f t="shared" si="6"/>
        <v>0.1119</v>
      </c>
      <c r="AC13" s="146">
        <f t="shared" si="7"/>
        <v>7.0067162824469051E-2</v>
      </c>
      <c r="AD13" s="147">
        <f t="shared" si="8"/>
        <v>0.6261587383777395</v>
      </c>
      <c r="AE13" s="97">
        <f t="shared" si="9"/>
        <v>5509</v>
      </c>
      <c r="AF13" s="98">
        <f t="shared" si="10"/>
        <v>616.45709999999997</v>
      </c>
      <c r="AG13" s="97">
        <f t="shared" si="11"/>
        <v>386</v>
      </c>
      <c r="AH13" s="98">
        <f t="shared" si="12"/>
        <v>51.371424999999995</v>
      </c>
      <c r="AI13" s="98">
        <f t="shared" si="13"/>
        <v>256.857125</v>
      </c>
      <c r="AJ13" s="98">
        <f t="shared" si="14"/>
        <v>386</v>
      </c>
      <c r="AK13" s="99">
        <f t="shared" si="15"/>
        <v>1.5027809721065748</v>
      </c>
      <c r="AL13" s="431">
        <f t="shared" si="16"/>
        <v>129.142875</v>
      </c>
      <c r="AP13" s="143"/>
      <c r="AQ13" s="724">
        <f>SUM('[1]INSCRITA PERCAPITA 2024'!$CF$36:$CN$36)</f>
        <v>6118</v>
      </c>
      <c r="AR13" s="722">
        <f>REMP!G10</f>
        <v>529</v>
      </c>
      <c r="AS13" s="722">
        <f>REMP!M10</f>
        <v>80</v>
      </c>
      <c r="AT13" s="722">
        <f t="shared" si="17"/>
        <v>5509</v>
      </c>
      <c r="AU13" s="15"/>
      <c r="AV13" s="15"/>
      <c r="AW13" s="15"/>
      <c r="AX13" s="15"/>
      <c r="AY13" s="15"/>
    </row>
    <row r="14" spans="1:52" ht="15" customHeight="1" x14ac:dyDescent="0.3">
      <c r="A14"/>
      <c r="B14"/>
      <c r="C14" s="64"/>
      <c r="D14" s="65"/>
      <c r="E14" s="66"/>
      <c r="F14" s="106"/>
      <c r="G14" s="19" t="s">
        <v>444</v>
      </c>
      <c r="H14" s="73"/>
      <c r="I14" s="73">
        <f>+REMA!E11</f>
        <v>1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0</v>
      </c>
      <c r="O14" s="73">
        <f>+REMA!K11</f>
        <v>0</v>
      </c>
      <c r="P14" s="73">
        <f>+REMA!L11</f>
        <v>0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80">
        <f t="shared" si="1"/>
        <v>6</v>
      </c>
      <c r="V14" s="73">
        <f t="shared" si="18"/>
        <v>145.785</v>
      </c>
      <c r="W14" s="510">
        <f t="shared" si="2"/>
        <v>4.1156497582055765E-2</v>
      </c>
      <c r="X14" s="523">
        <f t="shared" si="3"/>
        <v>0.1119</v>
      </c>
      <c r="Y14" s="42">
        <f t="shared" si="4"/>
        <v>2.6855999999999998E-2</v>
      </c>
      <c r="Z14" s="113">
        <f t="shared" si="0"/>
        <v>1</v>
      </c>
      <c r="AA14" s="113">
        <f t="shared" si="5"/>
        <v>3.3000000000000002E-2</v>
      </c>
      <c r="AB14" s="146">
        <f t="shared" si="6"/>
        <v>0.1119</v>
      </c>
      <c r="AC14" s="146">
        <f t="shared" si="7"/>
        <v>4.1156497582055765E-2</v>
      </c>
      <c r="AD14" s="147">
        <f t="shared" si="8"/>
        <v>0.36779711869576198</v>
      </c>
      <c r="AE14" s="97">
        <f t="shared" si="9"/>
        <v>145.785</v>
      </c>
      <c r="AF14" s="98">
        <f t="shared" si="10"/>
        <v>16.3133415</v>
      </c>
      <c r="AG14" s="97">
        <f t="shared" si="11"/>
        <v>6</v>
      </c>
      <c r="AH14" s="98">
        <f t="shared" si="12"/>
        <v>1.3594451249999999</v>
      </c>
      <c r="AI14" s="98">
        <f t="shared" si="13"/>
        <v>6.7972256249999994</v>
      </c>
      <c r="AJ14" s="98">
        <f t="shared" si="14"/>
        <v>6</v>
      </c>
      <c r="AK14" s="99">
        <f t="shared" si="15"/>
        <v>0.88271308486982891</v>
      </c>
      <c r="AL14" s="431">
        <f t="shared" si="16"/>
        <v>-0.79722562499999938</v>
      </c>
      <c r="AP14" s="143"/>
      <c r="AQ14" s="724">
        <f>SUM('[1]INSCRITA PERCAPITA 2024'!$CF$39:$CN$39)</f>
        <v>161.785</v>
      </c>
      <c r="AR14" s="722">
        <f>REMP!G11</f>
        <v>15</v>
      </c>
      <c r="AS14" s="722">
        <f>REMP!M11</f>
        <v>1</v>
      </c>
      <c r="AT14" s="722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+REMA!E12</f>
        <v>4</v>
      </c>
      <c r="J15" s="114">
        <f>+REMA!F12</f>
        <v>3</v>
      </c>
      <c r="K15" s="114">
        <f>+REMA!G12</f>
        <v>7</v>
      </c>
      <c r="L15" s="114">
        <f>+REMA!H12</f>
        <v>0</v>
      </c>
      <c r="M15" s="114">
        <f>+REMA!I12</f>
        <v>1</v>
      </c>
      <c r="N15" s="114">
        <f>+REMA!J12</f>
        <v>0</v>
      </c>
      <c r="O15" s="114">
        <f>+REMA!K12</f>
        <v>0</v>
      </c>
      <c r="P15" s="114">
        <f>+REMA!L12</f>
        <v>0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9">
        <f t="shared" si="1"/>
        <v>15</v>
      </c>
      <c r="V15" s="73">
        <f t="shared" si="18"/>
        <v>1530.3448000000001</v>
      </c>
      <c r="W15" s="511">
        <f t="shared" si="2"/>
        <v>9.8017126597875186E-3</v>
      </c>
      <c r="X15" s="666">
        <f t="shared" si="3"/>
        <v>0.1119</v>
      </c>
      <c r="Y15" s="55">
        <f t="shared" si="4"/>
        <v>2.6855999999999998E-2</v>
      </c>
      <c r="Z15" s="116">
        <f t="shared" si="0"/>
        <v>0.36497291703111107</v>
      </c>
      <c r="AA15" s="116">
        <f t="shared" si="5"/>
        <v>1.2044106262026663E-2</v>
      </c>
      <c r="AB15" s="545">
        <f t="shared" si="6"/>
        <v>0.1119</v>
      </c>
      <c r="AC15" s="545">
        <f t="shared" si="7"/>
        <v>9.8017126597875186E-3</v>
      </c>
      <c r="AD15" s="546">
        <f t="shared" si="8"/>
        <v>8.759350008746665E-2</v>
      </c>
      <c r="AE15" s="97">
        <f t="shared" si="9"/>
        <v>1530.3448000000001</v>
      </c>
      <c r="AF15" s="98">
        <f t="shared" si="10"/>
        <v>171.24558312000002</v>
      </c>
      <c r="AG15" s="97">
        <f t="shared" si="11"/>
        <v>15</v>
      </c>
      <c r="AH15" s="98">
        <f t="shared" si="12"/>
        <v>14.270465260000002</v>
      </c>
      <c r="AI15" s="98">
        <f t="shared" si="13"/>
        <v>71.352326300000016</v>
      </c>
      <c r="AJ15" s="98">
        <f t="shared" si="14"/>
        <v>15</v>
      </c>
      <c r="AK15" s="547">
        <f t="shared" si="15"/>
        <v>0.21022440020991995</v>
      </c>
      <c r="AL15" s="431">
        <f t="shared" si="16"/>
        <v>-56.352326300000016</v>
      </c>
      <c r="AP15" s="143"/>
      <c r="AQ15" s="717">
        <f>SUM('[1]INSCRITA PERCAPITA 2024'!$CF$40:$CN$40)</f>
        <v>1664.3448000000001</v>
      </c>
      <c r="AR15" s="725">
        <f>REMP!G12</f>
        <v>110</v>
      </c>
      <c r="AS15" s="725">
        <f>REMP!M12</f>
        <v>24</v>
      </c>
      <c r="AT15" s="725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6"/>
      <c r="G16" s="620" t="s">
        <v>15</v>
      </c>
      <c r="H16" s="85"/>
      <c r="I16" s="85">
        <f>SUM(I9:I15)</f>
        <v>362</v>
      </c>
      <c r="J16" s="85">
        <f t="shared" ref="J16:T16" si="19">SUM(J9:J15)</f>
        <v>175</v>
      </c>
      <c r="K16" s="85">
        <f t="shared" si="19"/>
        <v>243</v>
      </c>
      <c r="L16" s="85">
        <f t="shared" si="19"/>
        <v>392</v>
      </c>
      <c r="M16" s="85">
        <f t="shared" si="19"/>
        <v>394</v>
      </c>
      <c r="N16" s="85">
        <f t="shared" si="19"/>
        <v>0</v>
      </c>
      <c r="O16" s="85">
        <f t="shared" si="19"/>
        <v>0</v>
      </c>
      <c r="P16" s="85">
        <f t="shared" si="19"/>
        <v>0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6">
        <f>SUM(U9:U15)</f>
        <v>1566</v>
      </c>
      <c r="V16" s="86">
        <f>AT16</f>
        <v>37923</v>
      </c>
      <c r="W16" s="697">
        <f t="shared" si="2"/>
        <v>4.1294201408116446E-2</v>
      </c>
      <c r="X16" s="512">
        <f t="shared" si="3"/>
        <v>0.1119</v>
      </c>
      <c r="Y16" s="512">
        <f t="shared" si="4"/>
        <v>2.6855999999999998E-2</v>
      </c>
      <c r="Z16" s="618">
        <f t="shared" si="0"/>
        <v>1</v>
      </c>
      <c r="AA16" s="513">
        <f t="shared" si="5"/>
        <v>3.3000000000000002E-2</v>
      </c>
      <c r="AB16" s="548">
        <f t="shared" si="6"/>
        <v>0.1119</v>
      </c>
      <c r="AC16" s="548">
        <f t="shared" si="7"/>
        <v>4.1294201408116446E-2</v>
      </c>
      <c r="AD16" s="549">
        <f t="shared" si="8"/>
        <v>0.36902771589022743</v>
      </c>
      <c r="AE16" s="550">
        <f t="shared" si="9"/>
        <v>37923</v>
      </c>
      <c r="AF16" s="551">
        <f t="shared" si="10"/>
        <v>4243.5837000000001</v>
      </c>
      <c r="AG16" s="550">
        <f t="shared" si="11"/>
        <v>1566</v>
      </c>
      <c r="AH16" s="550">
        <f>AF16/$AI$4</f>
        <v>353.63197500000001</v>
      </c>
      <c r="AI16" s="550">
        <f t="shared" si="13"/>
        <v>1768.1598750000001</v>
      </c>
      <c r="AJ16" s="550">
        <f t="shared" si="14"/>
        <v>1566</v>
      </c>
      <c r="AK16" s="552">
        <f t="shared" si="15"/>
        <v>0.88566651813654573</v>
      </c>
      <c r="AL16" s="431">
        <f t="shared" si="16"/>
        <v>-202.15987500000006</v>
      </c>
      <c r="AP16" s="143" t="s">
        <v>15</v>
      </c>
      <c r="AQ16" s="718">
        <f>SUM(AQ9:AQ15)</f>
        <v>41112</v>
      </c>
      <c r="AR16" s="726">
        <f>SUM(AR9:AR15)</f>
        <v>2733</v>
      </c>
      <c r="AS16" s="726">
        <f>SUM(AS9:AS15)</f>
        <v>456</v>
      </c>
      <c r="AT16" s="719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2"/>
      <c r="AC17" s="122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zoomScale="60" zoomScaleNormal="60" workbookViewId="0">
      <selection activeCell="V24" sqref="V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17.85546875" style="5" bestFit="1" customWidth="1"/>
    <col min="44" max="44" width="14" style="5" customWidth="1"/>
    <col min="45" max="45" width="19.4257812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3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7" t="str">
        <f>+NOMBRE!B7</f>
        <v>ENERO - MAYO 2024</v>
      </c>
      <c r="Y2" s="847"/>
      <c r="Z2" s="847"/>
      <c r="AA2" s="847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848" t="s">
        <v>530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49"/>
      <c r="W4" s="849"/>
      <c r="X4" s="849"/>
      <c r="Y4" s="849"/>
      <c r="Z4" s="849"/>
      <c r="AA4" s="850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3" ht="23.25" customHeight="1" thickBot="1" x14ac:dyDescent="0.3">
      <c r="G5" s="58"/>
      <c r="H5" s="851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3"/>
      <c r="AB5" s="5"/>
      <c r="AC5" s="5"/>
      <c r="AE5" s="6"/>
      <c r="AH5" s="88" t="s">
        <v>46</v>
      </c>
      <c r="AI5" s="89">
        <f>meta3!AB2</f>
        <v>5</v>
      </c>
      <c r="AJ5" s="6"/>
      <c r="AK5" s="5"/>
      <c r="AL5" s="5"/>
      <c r="AR5" s="138" t="s">
        <v>86</v>
      </c>
      <c r="AS5" s="138"/>
    </row>
    <row r="6" spans="1:53" ht="52.5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4"/>
      <c r="V6" s="8" t="s">
        <v>5</v>
      </c>
      <c r="W6" s="854" t="s">
        <v>6</v>
      </c>
      <c r="X6" s="891">
        <f>+NOMBRE!$B$9</f>
        <v>2024</v>
      </c>
      <c r="Y6" s="892"/>
      <c r="Z6" s="858" t="s">
        <v>7</v>
      </c>
      <c r="AA6" s="859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890" t="s">
        <v>88</v>
      </c>
      <c r="AR6" s="890"/>
      <c r="AS6" s="890"/>
    </row>
    <row r="7" spans="1:53" ht="85.5" customHeight="1" thickBot="1" x14ac:dyDescent="0.3">
      <c r="G7" s="58"/>
      <c r="H7" s="893" t="s">
        <v>475</v>
      </c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4"/>
      <c r="U7" s="895"/>
      <c r="V7" s="139" t="s">
        <v>89</v>
      </c>
      <c r="W7" s="855"/>
      <c r="X7" s="12" t="s">
        <v>11</v>
      </c>
      <c r="Y7" s="12" t="s">
        <v>472</v>
      </c>
      <c r="Z7" s="14" t="s">
        <v>13</v>
      </c>
      <c r="AA7" s="14" t="s">
        <v>516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4" t="s">
        <v>437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92" t="s">
        <v>496</v>
      </c>
      <c r="AR7" s="92" t="s">
        <v>497</v>
      </c>
      <c r="AS7" s="92" t="s">
        <v>498</v>
      </c>
      <c r="AT7" s="140"/>
      <c r="AU7" s="140"/>
      <c r="AW7" s="141"/>
      <c r="AX7" s="142"/>
      <c r="AY7" s="142"/>
      <c r="AZ7" s="142"/>
      <c r="BA7" s="142"/>
    </row>
    <row r="8" spans="1:53" ht="85.5" customHeight="1" thickBot="1" x14ac:dyDescent="0.3">
      <c r="G8" s="609" t="s">
        <v>438</v>
      </c>
      <c r="H8" s="441"/>
      <c r="I8" s="424" t="s">
        <v>189</v>
      </c>
      <c r="J8" s="424" t="s">
        <v>190</v>
      </c>
      <c r="K8" s="424" t="s">
        <v>191</v>
      </c>
      <c r="L8" s="424" t="s">
        <v>192</v>
      </c>
      <c r="M8" s="424" t="s">
        <v>193</v>
      </c>
      <c r="N8" s="424" t="s">
        <v>194</v>
      </c>
      <c r="O8" s="424" t="s">
        <v>195</v>
      </c>
      <c r="P8" s="424" t="s">
        <v>196</v>
      </c>
      <c r="Q8" s="424" t="s">
        <v>428</v>
      </c>
      <c r="R8" s="424" t="s">
        <v>198</v>
      </c>
      <c r="S8" s="424" t="s">
        <v>199</v>
      </c>
      <c r="T8" s="424" t="s">
        <v>200</v>
      </c>
      <c r="U8" s="427" t="s">
        <v>201</v>
      </c>
      <c r="V8" s="448"/>
      <c r="W8" s="652"/>
      <c r="X8" s="486">
        <f>indicadores!E24</f>
        <v>0.1</v>
      </c>
      <c r="Y8" s="496">
        <f>indicadores!$D$54</f>
        <v>0.24</v>
      </c>
      <c r="Z8" s="444"/>
      <c r="AA8" s="792">
        <v>4.4000000000000004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449"/>
      <c r="AR8" s="450"/>
      <c r="AS8" s="451"/>
      <c r="AT8" s="452"/>
      <c r="AU8" s="452"/>
      <c r="AW8" s="141"/>
      <c r="AX8" s="142"/>
      <c r="AY8" s="142"/>
      <c r="AZ8" s="142"/>
      <c r="BA8" s="142"/>
    </row>
    <row r="9" spans="1:53" ht="22.5" customHeight="1" x14ac:dyDescent="0.3">
      <c r="A9"/>
      <c r="B9"/>
      <c r="C9" s="64"/>
      <c r="D9" s="65"/>
      <c r="E9" s="66"/>
      <c r="F9" s="106"/>
      <c r="G9" s="19" t="s">
        <v>439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+REMA!I6</f>
        <v>102</v>
      </c>
      <c r="N9" s="68">
        <f>+REMA!J6</f>
        <v>0</v>
      </c>
      <c r="O9" s="68">
        <f>+REMA!K6</f>
        <v>0</v>
      </c>
      <c r="P9" s="68">
        <f>+REMA!L6</f>
        <v>0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9">
        <f>SUM(I9:T9)</f>
        <v>185</v>
      </c>
      <c r="V9" s="68">
        <f>AS9</f>
        <v>10636.477999999999</v>
      </c>
      <c r="W9" s="509">
        <f>IF(V9=0,0,+U9/V9)</f>
        <v>1.7392975381512566E-2</v>
      </c>
      <c r="X9" s="522">
        <f>$X$8</f>
        <v>0.1</v>
      </c>
      <c r="Y9" s="37">
        <f>+X9*$Y$8</f>
        <v>2.4E-2</v>
      </c>
      <c r="Z9" s="768">
        <f t="shared" ref="Z9:Z16" si="0">IF(+W9/Y9&gt;1,1,+W9/Y9)</f>
        <v>0.72470730756302359</v>
      </c>
      <c r="AA9" s="71">
        <f>+Z9*$AA$8/100</f>
        <v>3.1887121532773038E-2</v>
      </c>
      <c r="AB9" s="747">
        <f>X9</f>
        <v>0.1</v>
      </c>
      <c r="AC9" s="146">
        <f>(AG9/AE9)</f>
        <v>1.7392975381512566E-2</v>
      </c>
      <c r="AD9" s="147">
        <f>AC9/AB9</f>
        <v>0.17392975381512565</v>
      </c>
      <c r="AE9" s="97">
        <f>V9</f>
        <v>10636.477999999999</v>
      </c>
      <c r="AF9" s="98">
        <f>AE9*AB9</f>
        <v>1063.6478</v>
      </c>
      <c r="AG9" s="97">
        <f>U9</f>
        <v>185</v>
      </c>
      <c r="AH9" s="98">
        <f>AF9/$AI$4</f>
        <v>88.637316666666663</v>
      </c>
      <c r="AI9" s="98">
        <f>AH9*$AI$5</f>
        <v>443.18658333333332</v>
      </c>
      <c r="AJ9" s="98">
        <f>U9</f>
        <v>185</v>
      </c>
      <c r="AK9" s="99">
        <f>AJ9/AI9</f>
        <v>0.41743140915630156</v>
      </c>
      <c r="AL9" s="431">
        <f>(AI9-AJ9)*-1</f>
        <v>-258.18658333333332</v>
      </c>
      <c r="AP9" s="143"/>
      <c r="AQ9" s="730">
        <f>SUM('[1]INSCRITA PERCAPITA 2024'!$AZ$34:$BH$34)</f>
        <v>11048.477999999999</v>
      </c>
      <c r="AR9" s="733">
        <f>REMP!H6</f>
        <v>412</v>
      </c>
      <c r="AS9" s="729">
        <f>AQ9-AR9</f>
        <v>10636.477999999999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6"/>
      <c r="G10" s="19" t="s">
        <v>440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+REMA!I7</f>
        <v>72</v>
      </c>
      <c r="N10" s="73">
        <f>+REMA!J7</f>
        <v>0</v>
      </c>
      <c r="O10" s="73">
        <f>+REMA!K7</f>
        <v>0</v>
      </c>
      <c r="P10" s="73">
        <f>+REMA!L7</f>
        <v>0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80">
        <f t="shared" ref="U10:U15" si="1">SUM(I10:T10)</f>
        <v>143</v>
      </c>
      <c r="V10" s="73">
        <f t="shared" ref="V10:V15" si="2">AS10</f>
        <v>6477</v>
      </c>
      <c r="W10" s="510">
        <f t="shared" ref="W10:W16" si="3">IF(V10=0,0,+U10/V10)</f>
        <v>2.2078122587617724E-2</v>
      </c>
      <c r="X10" s="523">
        <f t="shared" ref="X10:X16" si="4">$X$8</f>
        <v>0.1</v>
      </c>
      <c r="Y10" s="42">
        <f t="shared" ref="Y10:Y16" si="5">+X10*$Y$8</f>
        <v>2.4E-2</v>
      </c>
      <c r="Z10" s="769">
        <f t="shared" si="0"/>
        <v>0.91992177448407186</v>
      </c>
      <c r="AA10" s="77">
        <f t="shared" ref="AA10:AA15" si="6">+Z10*$AA$8/100</f>
        <v>4.0476558077299163E-2</v>
      </c>
      <c r="AB10" s="747">
        <f t="shared" ref="AB10:AB16" si="7">X10</f>
        <v>0.1</v>
      </c>
      <c r="AC10" s="146">
        <f t="shared" ref="AC10:AC16" si="8">(AG10/AE10)</f>
        <v>2.2078122587617724E-2</v>
      </c>
      <c r="AD10" s="147">
        <f t="shared" ref="AD10:AD16" si="9">AC10/AB10</f>
        <v>0.22078122587617724</v>
      </c>
      <c r="AE10" s="97">
        <f t="shared" ref="AE10:AE16" si="10">V10</f>
        <v>6477</v>
      </c>
      <c r="AF10" s="98">
        <f t="shared" ref="AF10:AF16" si="11">AE10*AB10</f>
        <v>647.70000000000005</v>
      </c>
      <c r="AG10" s="97">
        <f t="shared" ref="AG10:AG16" si="12">U10</f>
        <v>143</v>
      </c>
      <c r="AH10" s="98">
        <f t="shared" ref="AH10:AH16" si="13">AF10/$AI$4</f>
        <v>53.975000000000001</v>
      </c>
      <c r="AI10" s="98">
        <f t="shared" ref="AI10:AI16" si="14">AH10*$AI$5</f>
        <v>269.875</v>
      </c>
      <c r="AJ10" s="98">
        <f t="shared" ref="AJ10:AJ16" si="15">U10</f>
        <v>143</v>
      </c>
      <c r="AK10" s="99">
        <f t="shared" ref="AK10:AK16" si="16">AJ10/AI10</f>
        <v>0.52987494210282537</v>
      </c>
      <c r="AL10" s="431">
        <f t="shared" ref="AL10:AL16" si="17">(AI10-AJ10)*-1</f>
        <v>-126.875</v>
      </c>
      <c r="AP10" s="143"/>
      <c r="AQ10" s="720">
        <f>SUM('[1]INSCRITA PERCAPITA 2024'!$AZ$35:$BH$35)</f>
        <v>6703</v>
      </c>
      <c r="AR10" s="731">
        <f>REMP!H7</f>
        <v>226</v>
      </c>
      <c r="AS10" s="728">
        <f t="shared" ref="AS10:AS15" si="18">AQ10-AR10</f>
        <v>6477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6"/>
      <c r="G11" s="19" t="s">
        <v>441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+REMA!I8</f>
        <v>102</v>
      </c>
      <c r="N11" s="73">
        <f>+REMA!J8</f>
        <v>0</v>
      </c>
      <c r="O11" s="73">
        <f>+REMA!K8</f>
        <v>0</v>
      </c>
      <c r="P11" s="73">
        <f>+REMA!L8</f>
        <v>0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80">
        <f t="shared" si="1"/>
        <v>175</v>
      </c>
      <c r="V11" s="73">
        <f t="shared" si="2"/>
        <v>4433</v>
      </c>
      <c r="W11" s="510">
        <f t="shared" si="3"/>
        <v>3.9476652379878185E-2</v>
      </c>
      <c r="X11" s="523">
        <f t="shared" si="4"/>
        <v>0.1</v>
      </c>
      <c r="Y11" s="42">
        <f t="shared" si="5"/>
        <v>2.4E-2</v>
      </c>
      <c r="Z11" s="769">
        <f t="shared" si="0"/>
        <v>1</v>
      </c>
      <c r="AA11" s="77">
        <f t="shared" si="6"/>
        <v>4.4000000000000004E-2</v>
      </c>
      <c r="AB11" s="747">
        <f t="shared" si="7"/>
        <v>0.1</v>
      </c>
      <c r="AC11" s="146">
        <f t="shared" si="8"/>
        <v>3.9476652379878185E-2</v>
      </c>
      <c r="AD11" s="147">
        <f t="shared" si="9"/>
        <v>0.39476652379878185</v>
      </c>
      <c r="AE11" s="97">
        <f t="shared" si="10"/>
        <v>4433</v>
      </c>
      <c r="AF11" s="98">
        <f t="shared" si="11"/>
        <v>443.3</v>
      </c>
      <c r="AG11" s="97">
        <f t="shared" si="12"/>
        <v>175</v>
      </c>
      <c r="AH11" s="98">
        <f t="shared" si="13"/>
        <v>36.94166666666667</v>
      </c>
      <c r="AI11" s="98">
        <f t="shared" si="14"/>
        <v>184.70833333333334</v>
      </c>
      <c r="AJ11" s="98">
        <f t="shared" si="15"/>
        <v>175</v>
      </c>
      <c r="AK11" s="99">
        <f t="shared" si="16"/>
        <v>0.94743965711707645</v>
      </c>
      <c r="AL11" s="431">
        <f t="shared" si="17"/>
        <v>-9.7083333333333428</v>
      </c>
      <c r="AP11" s="143"/>
      <c r="AQ11" s="720">
        <f>SUM('[1]INSCRITA PERCAPITA 2024'!$AZ$38:$BH$38)</f>
        <v>4580</v>
      </c>
      <c r="AR11" s="731">
        <f>REMP!H8</f>
        <v>147</v>
      </c>
      <c r="AS11" s="728">
        <f t="shared" si="18"/>
        <v>4433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6"/>
      <c r="G12" s="19" t="s">
        <v>442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+REMA!I9</f>
        <v>34</v>
      </c>
      <c r="N12" s="73">
        <f>+REMA!J9</f>
        <v>0</v>
      </c>
      <c r="O12" s="73">
        <f>+REMA!K9</f>
        <v>0</v>
      </c>
      <c r="P12" s="73">
        <f>+REMA!L9</f>
        <v>0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80">
        <f t="shared" si="1"/>
        <v>138</v>
      </c>
      <c r="V12" s="73">
        <f t="shared" si="2"/>
        <v>4818.0760000000009</v>
      </c>
      <c r="W12" s="510">
        <f t="shared" si="3"/>
        <v>2.8642138480173409E-2</v>
      </c>
      <c r="X12" s="523">
        <f t="shared" si="4"/>
        <v>0.1</v>
      </c>
      <c r="Y12" s="42">
        <f t="shared" si="5"/>
        <v>2.4E-2</v>
      </c>
      <c r="Z12" s="769">
        <f t="shared" si="0"/>
        <v>1</v>
      </c>
      <c r="AA12" s="77">
        <f t="shared" si="6"/>
        <v>4.4000000000000004E-2</v>
      </c>
      <c r="AB12" s="747">
        <f t="shared" si="7"/>
        <v>0.1</v>
      </c>
      <c r="AC12" s="146">
        <f t="shared" si="8"/>
        <v>2.8642138480173409E-2</v>
      </c>
      <c r="AD12" s="147">
        <f t="shared" si="9"/>
        <v>0.28642138480173407</v>
      </c>
      <c r="AE12" s="97">
        <f t="shared" si="10"/>
        <v>4818.0760000000009</v>
      </c>
      <c r="AF12" s="98">
        <f t="shared" si="11"/>
        <v>481.80760000000009</v>
      </c>
      <c r="AG12" s="97">
        <f t="shared" si="12"/>
        <v>138</v>
      </c>
      <c r="AH12" s="98">
        <f t="shared" si="13"/>
        <v>40.150633333333339</v>
      </c>
      <c r="AI12" s="98">
        <f t="shared" si="14"/>
        <v>200.75316666666669</v>
      </c>
      <c r="AJ12" s="98">
        <f t="shared" si="15"/>
        <v>138</v>
      </c>
      <c r="AK12" s="99">
        <f t="shared" si="16"/>
        <v>0.6874113235241619</v>
      </c>
      <c r="AL12" s="431">
        <f t="shared" si="17"/>
        <v>-62.753166666666687</v>
      </c>
      <c r="AP12" s="143"/>
      <c r="AQ12" s="720">
        <f>SUM('[1]INSCRITA PERCAPITA 2024'!$AZ$37:$BH$37)</f>
        <v>5028.0760000000009</v>
      </c>
      <c r="AR12" s="731">
        <f>REMP!H9</f>
        <v>210</v>
      </c>
      <c r="AS12" s="728">
        <f t="shared" si="18"/>
        <v>4818.0760000000009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6"/>
      <c r="G13" s="19" t="s">
        <v>443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+REMA!I10</f>
        <v>82</v>
      </c>
      <c r="N13" s="73">
        <f>+REMA!J10</f>
        <v>0</v>
      </c>
      <c r="O13" s="73">
        <f>+REMA!K10</f>
        <v>0</v>
      </c>
      <c r="P13" s="73">
        <f>+REMA!L10</f>
        <v>0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80">
        <f t="shared" si="1"/>
        <v>191</v>
      </c>
      <c r="V13" s="73">
        <f t="shared" si="2"/>
        <v>5118</v>
      </c>
      <c r="W13" s="510">
        <f t="shared" si="3"/>
        <v>3.7319265338022663E-2</v>
      </c>
      <c r="X13" s="523">
        <f t="shared" si="4"/>
        <v>0.1</v>
      </c>
      <c r="Y13" s="42">
        <f t="shared" si="5"/>
        <v>2.4E-2</v>
      </c>
      <c r="Z13" s="769">
        <f t="shared" si="0"/>
        <v>1</v>
      </c>
      <c r="AA13" s="77">
        <f t="shared" si="6"/>
        <v>4.4000000000000004E-2</v>
      </c>
      <c r="AB13" s="747">
        <f t="shared" si="7"/>
        <v>0.1</v>
      </c>
      <c r="AC13" s="146">
        <f t="shared" si="8"/>
        <v>3.7319265338022663E-2</v>
      </c>
      <c r="AD13" s="147">
        <f t="shared" si="9"/>
        <v>0.37319265338022661</v>
      </c>
      <c r="AE13" s="97">
        <f t="shared" si="10"/>
        <v>5118</v>
      </c>
      <c r="AF13" s="98">
        <f t="shared" si="11"/>
        <v>511.8</v>
      </c>
      <c r="AG13" s="97">
        <f t="shared" si="12"/>
        <v>191</v>
      </c>
      <c r="AH13" s="98">
        <f t="shared" si="13"/>
        <v>42.65</v>
      </c>
      <c r="AI13" s="98">
        <f t="shared" si="14"/>
        <v>213.25</v>
      </c>
      <c r="AJ13" s="98">
        <f t="shared" si="15"/>
        <v>191</v>
      </c>
      <c r="AK13" s="99">
        <f t="shared" si="16"/>
        <v>0.89566236811254396</v>
      </c>
      <c r="AL13" s="431">
        <f t="shared" si="17"/>
        <v>-22.25</v>
      </c>
      <c r="AP13" s="143"/>
      <c r="AQ13" s="720">
        <f>SUM('[1]INSCRITA PERCAPITA 2024'!$AZ$36:$BH$36)</f>
        <v>5349</v>
      </c>
      <c r="AR13" s="731">
        <f>REMP!H10</f>
        <v>231</v>
      </c>
      <c r="AS13" s="728">
        <f t="shared" si="18"/>
        <v>5118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6"/>
      <c r="G14" s="19" t="s">
        <v>444</v>
      </c>
      <c r="H14" s="73"/>
      <c r="I14" s="73">
        <f>REMA!S11</f>
        <v>1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+REMA!I11</f>
        <v>1</v>
      </c>
      <c r="N14" s="73">
        <f>+REMA!J11</f>
        <v>0</v>
      </c>
      <c r="O14" s="73">
        <f>+REMA!K11</f>
        <v>0</v>
      </c>
      <c r="P14" s="73">
        <f>+REMA!L11</f>
        <v>0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80">
        <f t="shared" si="1"/>
        <v>6</v>
      </c>
      <c r="V14" s="73">
        <f t="shared" si="2"/>
        <v>140.52199999999996</v>
      </c>
      <c r="W14" s="510">
        <f t="shared" si="3"/>
        <v>4.269794053600149E-2</v>
      </c>
      <c r="X14" s="523">
        <f t="shared" si="4"/>
        <v>0.1</v>
      </c>
      <c r="Y14" s="42">
        <f t="shared" si="5"/>
        <v>2.4E-2</v>
      </c>
      <c r="Z14" s="769">
        <f t="shared" si="0"/>
        <v>1</v>
      </c>
      <c r="AA14" s="77">
        <f t="shared" si="6"/>
        <v>4.4000000000000004E-2</v>
      </c>
      <c r="AB14" s="747">
        <f t="shared" si="7"/>
        <v>0.1</v>
      </c>
      <c r="AC14" s="146">
        <f t="shared" si="8"/>
        <v>4.269794053600149E-2</v>
      </c>
      <c r="AD14" s="147">
        <f t="shared" si="9"/>
        <v>0.42697940536001489</v>
      </c>
      <c r="AE14" s="97">
        <f t="shared" si="10"/>
        <v>140.52199999999996</v>
      </c>
      <c r="AF14" s="98">
        <f t="shared" si="11"/>
        <v>14.052199999999997</v>
      </c>
      <c r="AG14" s="97">
        <f t="shared" si="12"/>
        <v>6</v>
      </c>
      <c r="AH14" s="98">
        <f t="shared" si="13"/>
        <v>1.1710166666666664</v>
      </c>
      <c r="AI14" s="98">
        <f t="shared" si="14"/>
        <v>5.8550833333333321</v>
      </c>
      <c r="AJ14" s="98">
        <f t="shared" si="15"/>
        <v>6</v>
      </c>
      <c r="AK14" s="99">
        <f t="shared" si="16"/>
        <v>1.0247505728640358</v>
      </c>
      <c r="AL14" s="431">
        <f t="shared" si="17"/>
        <v>0.14491666666666791</v>
      </c>
      <c r="AP14" s="143"/>
      <c r="AQ14" s="720">
        <f>SUM('[1]INSCRITA PERCAPITA 2024'!$AZ$39:$BH$39)</f>
        <v>145.52199999999996</v>
      </c>
      <c r="AR14" s="731">
        <f>REMP!H11</f>
        <v>5</v>
      </c>
      <c r="AS14" s="728">
        <f t="shared" si="18"/>
        <v>140.52199999999996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REMA!S12</f>
        <v>1</v>
      </c>
      <c r="J15" s="114">
        <f>REMA!T12</f>
        <v>0</v>
      </c>
      <c r="K15" s="114">
        <f>REMA!U12</f>
        <v>2</v>
      </c>
      <c r="L15" s="114">
        <f>REMA!V12</f>
        <v>1</v>
      </c>
      <c r="M15" s="114">
        <f>+REMA!I12</f>
        <v>1</v>
      </c>
      <c r="N15" s="114">
        <f>+REMA!J12</f>
        <v>0</v>
      </c>
      <c r="O15" s="114">
        <f>+REMA!K12</f>
        <v>0</v>
      </c>
      <c r="P15" s="114">
        <f>+REMA!L12</f>
        <v>0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9">
        <f t="shared" si="1"/>
        <v>5</v>
      </c>
      <c r="V15" s="114">
        <f t="shared" si="2"/>
        <v>1265.9240000000002</v>
      </c>
      <c r="W15" s="511">
        <f t="shared" si="3"/>
        <v>3.9496841832527066E-3</v>
      </c>
      <c r="X15" s="666">
        <f t="shared" si="4"/>
        <v>0.1</v>
      </c>
      <c r="Y15" s="55">
        <f t="shared" si="5"/>
        <v>2.4E-2</v>
      </c>
      <c r="Z15" s="770">
        <f t="shared" si="0"/>
        <v>0.16457017430219611</v>
      </c>
      <c r="AA15" s="77">
        <f t="shared" si="6"/>
        <v>7.2410876692966296E-3</v>
      </c>
      <c r="AB15" s="772">
        <f t="shared" si="7"/>
        <v>0.1</v>
      </c>
      <c r="AC15" s="545">
        <f t="shared" si="8"/>
        <v>3.9496841832527066E-3</v>
      </c>
      <c r="AD15" s="546">
        <f t="shared" si="9"/>
        <v>3.9496841832527066E-2</v>
      </c>
      <c r="AE15" s="97">
        <f t="shared" si="10"/>
        <v>1265.9240000000002</v>
      </c>
      <c r="AF15" s="98">
        <f t="shared" si="11"/>
        <v>126.59240000000003</v>
      </c>
      <c r="AG15" s="97">
        <f t="shared" si="12"/>
        <v>5</v>
      </c>
      <c r="AH15" s="98">
        <f t="shared" si="13"/>
        <v>10.549366666666669</v>
      </c>
      <c r="AI15" s="98">
        <f t="shared" si="14"/>
        <v>52.746833333333349</v>
      </c>
      <c r="AJ15" s="98">
        <f t="shared" si="15"/>
        <v>5</v>
      </c>
      <c r="AK15" s="547">
        <f t="shared" si="16"/>
        <v>9.4792420398064944E-2</v>
      </c>
      <c r="AL15" s="431">
        <f t="shared" si="17"/>
        <v>-47.746833333333349</v>
      </c>
      <c r="AP15" s="143"/>
      <c r="AQ15" s="727">
        <f>SUM('[1]INSCRITA PERCAPITA 2024'!$AZ$40:$BH$40)</f>
        <v>1326.9240000000002</v>
      </c>
      <c r="AR15" s="721">
        <f>REMP!H12</f>
        <v>61</v>
      </c>
      <c r="AS15" s="734">
        <f t="shared" si="18"/>
        <v>1265.9240000000002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6"/>
      <c r="G16" s="620" t="s">
        <v>15</v>
      </c>
      <c r="H16" s="85"/>
      <c r="I16" s="85">
        <f>SUM(I9:I15)</f>
        <v>156</v>
      </c>
      <c r="J16" s="85">
        <f t="shared" ref="J16:T16" si="19">SUM(J9:J15)</f>
        <v>74</v>
      </c>
      <c r="K16" s="85">
        <f t="shared" si="19"/>
        <v>62</v>
      </c>
      <c r="L16" s="85">
        <f t="shared" si="19"/>
        <v>157</v>
      </c>
      <c r="M16" s="85">
        <f t="shared" si="19"/>
        <v>394</v>
      </c>
      <c r="N16" s="85">
        <f t="shared" si="19"/>
        <v>0</v>
      </c>
      <c r="O16" s="85">
        <f t="shared" si="19"/>
        <v>0</v>
      </c>
      <c r="P16" s="85">
        <f t="shared" si="19"/>
        <v>0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6">
        <f>SUM(U9:U15)</f>
        <v>843</v>
      </c>
      <c r="V16" s="86">
        <f>SUM(V9:V15)</f>
        <v>32889</v>
      </c>
      <c r="W16" s="698">
        <f t="shared" si="3"/>
        <v>2.5631670163276474E-2</v>
      </c>
      <c r="X16" s="512">
        <f t="shared" si="4"/>
        <v>0.1</v>
      </c>
      <c r="Y16" s="512">
        <f t="shared" si="5"/>
        <v>2.4E-2</v>
      </c>
      <c r="Z16" s="771">
        <f t="shared" si="0"/>
        <v>1</v>
      </c>
      <c r="AA16" s="514">
        <f>+Z16*$AA$8/100</f>
        <v>4.4000000000000004E-2</v>
      </c>
      <c r="AB16" s="773">
        <f t="shared" si="7"/>
        <v>0.1</v>
      </c>
      <c r="AC16" s="548">
        <f t="shared" si="8"/>
        <v>2.5631670163276474E-2</v>
      </c>
      <c r="AD16" s="549">
        <f t="shared" si="9"/>
        <v>0.25631670163276471</v>
      </c>
      <c r="AE16" s="550">
        <f t="shared" si="10"/>
        <v>32889</v>
      </c>
      <c r="AF16" s="551">
        <f t="shared" si="11"/>
        <v>3288.9</v>
      </c>
      <c r="AG16" s="550">
        <f t="shared" si="12"/>
        <v>843</v>
      </c>
      <c r="AH16" s="98">
        <f t="shared" si="13"/>
        <v>274.07499999999999</v>
      </c>
      <c r="AI16" s="550">
        <f t="shared" si="14"/>
        <v>1370.375</v>
      </c>
      <c r="AJ16" s="550">
        <f t="shared" si="15"/>
        <v>843</v>
      </c>
      <c r="AK16" s="552">
        <f t="shared" si="16"/>
        <v>0.61516008391863541</v>
      </c>
      <c r="AL16" s="431">
        <f t="shared" si="17"/>
        <v>-527.375</v>
      </c>
      <c r="AP16" s="143" t="s">
        <v>15</v>
      </c>
      <c r="AQ16" s="735">
        <f>SUM(AQ9:AQ15)</f>
        <v>34181</v>
      </c>
      <c r="AR16" s="732">
        <f>SUM(AR9:AR15)</f>
        <v>1292</v>
      </c>
      <c r="AS16" s="736">
        <f t="shared" ref="AS16" si="20">SUM(AS9:AS15)</f>
        <v>32889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2"/>
      <c r="AC17" s="122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zoomScale="60" zoomScaleNormal="60" workbookViewId="0">
      <selection activeCell="V20" sqref="V20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3" customWidth="1"/>
    <col min="7" max="7" width="31.140625" style="5" customWidth="1"/>
    <col min="8" max="8" width="7.28515625" style="5" customWidth="1"/>
    <col min="9" max="13" width="5.85546875" style="5" bestFit="1" customWidth="1"/>
    <col min="14" max="14" width="5" style="5" bestFit="1" customWidth="1"/>
    <col min="15" max="15" width="4.140625" style="5" bestFit="1" customWidth="1"/>
    <col min="16" max="16" width="5.28515625" style="5" bestFit="1" customWidth="1"/>
    <col min="17" max="17" width="6" style="5" bestFit="1" customWidth="1"/>
    <col min="18" max="18" width="4.85546875" style="5" bestFit="1" customWidth="1"/>
    <col min="19" max="19" width="5.5703125" style="5" bestFit="1" customWidth="1"/>
    <col min="20" max="20" width="4.4257812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7" t="str">
        <f>+NOMBRE!B7</f>
        <v>ENERO - MAYO 2024</v>
      </c>
      <c r="Y2" s="847"/>
      <c r="Z2" s="847"/>
      <c r="AA2" s="847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48" t="s">
        <v>487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49"/>
      <c r="W4" s="849"/>
      <c r="X4" s="849"/>
      <c r="Y4" s="849"/>
      <c r="Z4" s="849"/>
      <c r="AA4" s="850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51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3"/>
      <c r="AB5" s="5"/>
      <c r="AC5" s="5"/>
      <c r="AE5" s="6"/>
      <c r="AG5" s="5"/>
      <c r="AH5" s="88" t="s">
        <v>46</v>
      </c>
      <c r="AI5" s="89">
        <f>meta3!AB2</f>
        <v>5</v>
      </c>
      <c r="AJ5" s="6"/>
      <c r="AL5" s="5"/>
    </row>
    <row r="6" spans="1:39" ht="77.25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4"/>
      <c r="V6" s="61" t="s">
        <v>5</v>
      </c>
      <c r="W6" s="854" t="s">
        <v>6</v>
      </c>
      <c r="X6" s="856">
        <f>+NOMBRE!$B$9</f>
        <v>2024</v>
      </c>
      <c r="Y6" s="857"/>
      <c r="Z6" s="858" t="s">
        <v>7</v>
      </c>
      <c r="AA6" s="859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9.75" thickBot="1" x14ac:dyDescent="0.3">
      <c r="G7" s="609" t="s">
        <v>438</v>
      </c>
      <c r="H7" s="860" t="s">
        <v>91</v>
      </c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2"/>
      <c r="V7" s="11" t="s">
        <v>92</v>
      </c>
      <c r="W7" s="855"/>
      <c r="X7" s="12" t="s">
        <v>11</v>
      </c>
      <c r="Y7" s="12" t="s">
        <v>43</v>
      </c>
      <c r="Z7" s="14" t="s">
        <v>13</v>
      </c>
      <c r="AA7" s="14" t="s">
        <v>44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50.25" customHeight="1" thickBot="1" x14ac:dyDescent="0.3">
      <c r="G8" s="440"/>
      <c r="H8" s="441"/>
      <c r="I8" s="467" t="s">
        <v>189</v>
      </c>
      <c r="J8" s="468" t="s">
        <v>190</v>
      </c>
      <c r="K8" s="468" t="s">
        <v>191</v>
      </c>
      <c r="L8" s="468" t="s">
        <v>192</v>
      </c>
      <c r="M8" s="468" t="s">
        <v>193</v>
      </c>
      <c r="N8" s="468" t="s">
        <v>194</v>
      </c>
      <c r="O8" s="468" t="s">
        <v>195</v>
      </c>
      <c r="P8" s="468" t="s">
        <v>196</v>
      </c>
      <c r="Q8" s="468" t="s">
        <v>428</v>
      </c>
      <c r="R8" s="468" t="s">
        <v>198</v>
      </c>
      <c r="S8" s="468" t="s">
        <v>199</v>
      </c>
      <c r="T8" s="468" t="s">
        <v>200</v>
      </c>
      <c r="U8" s="427" t="s">
        <v>201</v>
      </c>
      <c r="V8" s="484"/>
      <c r="W8" s="652"/>
      <c r="X8" s="486">
        <f>indicadores!E25</f>
        <v>0.39</v>
      </c>
      <c r="Y8" s="486">
        <f>indicadores!$D$54</f>
        <v>0.24</v>
      </c>
      <c r="Z8" s="477"/>
      <c r="AA8" s="477"/>
      <c r="AB8" s="94" t="s">
        <v>68</v>
      </c>
      <c r="AC8" s="94" t="s">
        <v>69</v>
      </c>
      <c r="AD8" s="94" t="s">
        <v>70</v>
      </c>
      <c r="AE8" s="525" t="s">
        <v>71</v>
      </c>
      <c r="AF8" s="525" t="s">
        <v>72</v>
      </c>
      <c r="AG8" s="525" t="s">
        <v>73</v>
      </c>
      <c r="AH8" s="525" t="s">
        <v>74</v>
      </c>
      <c r="AI8" s="525" t="s">
        <v>75</v>
      </c>
      <c r="AJ8" s="525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439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0</v>
      </c>
      <c r="O9" s="79">
        <f>REMA!AR6</f>
        <v>0</v>
      </c>
      <c r="P9" s="79">
        <f>REMA!AS6</f>
        <v>0</v>
      </c>
      <c r="Q9" s="79">
        <f>REMA!AT6</f>
        <v>0</v>
      </c>
      <c r="R9" s="79">
        <f>REMA!AU6</f>
        <v>0</v>
      </c>
      <c r="S9" s="79">
        <f>REMA!AV6</f>
        <v>0</v>
      </c>
      <c r="T9" s="79">
        <f>REMA!AW6</f>
        <v>0</v>
      </c>
      <c r="U9" s="482">
        <f>SUM(I9:T9)</f>
        <v>993</v>
      </c>
      <c r="V9" s="80">
        <f>Poblacion2024!Q6</f>
        <v>9256.0860000000011</v>
      </c>
      <c r="W9" s="45">
        <f>IF(V9=0,0,+U9/V9)</f>
        <v>0.10728076640601653</v>
      </c>
      <c r="X9" s="46">
        <f>$X$8</f>
        <v>0.39</v>
      </c>
      <c r="Y9" s="46">
        <f>+X9*$Y$8</f>
        <v>9.3600000000000003E-2</v>
      </c>
      <c r="Z9" s="145">
        <f t="shared" ref="Z9:Z16" si="0">IF(+W9/Y9&gt;1,1,+W9/Y9)</f>
        <v>1</v>
      </c>
      <c r="AA9" s="77">
        <f>+Z9*6.82/100</f>
        <v>6.8199999999999997E-2</v>
      </c>
      <c r="AB9" s="146">
        <f>X9</f>
        <v>0.39</v>
      </c>
      <c r="AC9" s="146">
        <f>(AG9/AE9)</f>
        <v>0.10728076640601653</v>
      </c>
      <c r="AD9" s="147">
        <f>AC9/AB9</f>
        <v>0.27507888822055521</v>
      </c>
      <c r="AE9" s="502">
        <f>V9</f>
        <v>9256.0860000000011</v>
      </c>
      <c r="AF9" s="503">
        <f>AE9*AB9</f>
        <v>3609.8735400000005</v>
      </c>
      <c r="AG9" s="502">
        <f>U9</f>
        <v>993</v>
      </c>
      <c r="AH9" s="503">
        <f>AF9/$AI$4</f>
        <v>300.82279500000004</v>
      </c>
      <c r="AI9" s="503">
        <f>AH9*$AI$5</f>
        <v>1504.1139750000002</v>
      </c>
      <c r="AJ9" s="503">
        <f>U9</f>
        <v>993</v>
      </c>
      <c r="AK9" s="99">
        <f>AJ9/AI9</f>
        <v>0.66018933172933247</v>
      </c>
      <c r="AL9" s="431">
        <f>(AI9-AJ9)*-1</f>
        <v>-511.11397500000021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440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0</v>
      </c>
      <c r="O10" s="73">
        <f>REMA!AR7</f>
        <v>0</v>
      </c>
      <c r="P10" s="73">
        <f>REMA!AS7</f>
        <v>0</v>
      </c>
      <c r="Q10" s="73">
        <f>REMA!AT7</f>
        <v>0</v>
      </c>
      <c r="R10" s="73">
        <f>REMA!AU7</f>
        <v>0</v>
      </c>
      <c r="S10" s="73">
        <f>REMA!AV7</f>
        <v>0</v>
      </c>
      <c r="T10" s="73">
        <f>REMA!AW7</f>
        <v>0</v>
      </c>
      <c r="U10" s="482">
        <f t="shared" ref="U10:U15" si="1">SUM(I10:T10)</f>
        <v>443</v>
      </c>
      <c r="V10" s="74">
        <f>Poblacion2024!Q7</f>
        <v>4292</v>
      </c>
      <c r="W10" s="40">
        <f t="shared" ref="W10:W16" si="2">IF(V10=0,0,+U10/V10)</f>
        <v>0.103215284249767</v>
      </c>
      <c r="X10" s="42">
        <f t="shared" ref="X10:X16" si="3">$X$8</f>
        <v>0.39</v>
      </c>
      <c r="Y10" s="46">
        <f t="shared" ref="Y10:Y16" si="4">+X10*$Y$8</f>
        <v>9.3600000000000003E-2</v>
      </c>
      <c r="Z10" s="113">
        <f t="shared" si="0"/>
        <v>1</v>
      </c>
      <c r="AA10" s="77">
        <f t="shared" ref="AA10:AA16" si="5">+Z10*6.25/100</f>
        <v>6.25E-2</v>
      </c>
      <c r="AB10" s="146">
        <f t="shared" ref="AB10:AB16" si="6">X10</f>
        <v>0.39</v>
      </c>
      <c r="AC10" s="146">
        <f t="shared" ref="AC10:AC16" si="7">(AG10/AE10)</f>
        <v>0.103215284249767</v>
      </c>
      <c r="AD10" s="147">
        <f t="shared" ref="AD10:AD16" si="8">AC10/AB10</f>
        <v>0.26465457499940254</v>
      </c>
      <c r="AE10" s="502">
        <f t="shared" ref="AE10:AE16" si="9">V10</f>
        <v>4292</v>
      </c>
      <c r="AF10" s="503">
        <f t="shared" ref="AF10:AF16" si="10">AE10*AB10</f>
        <v>1673.88</v>
      </c>
      <c r="AG10" s="502">
        <f t="shared" ref="AG10:AG16" si="11">U10</f>
        <v>443</v>
      </c>
      <c r="AH10" s="503">
        <f t="shared" ref="AH10:AH16" si="12">AF10/$AI$4</f>
        <v>139.49</v>
      </c>
      <c r="AI10" s="503">
        <f t="shared" ref="AI10:AI16" si="13">AH10*$AI$5</f>
        <v>697.45</v>
      </c>
      <c r="AJ10" s="503">
        <f t="shared" ref="AJ10:AJ16" si="14">U10</f>
        <v>443</v>
      </c>
      <c r="AK10" s="99">
        <f t="shared" ref="AK10:AK16" si="15">AJ10/AI10</f>
        <v>0.6351709799985662</v>
      </c>
      <c r="AL10" s="431">
        <f t="shared" ref="AL10:AL16" si="16">(AI10-AJ10)*-1</f>
        <v>-254.45000000000005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441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0</v>
      </c>
      <c r="O11" s="73">
        <f>REMA!AR8</f>
        <v>0</v>
      </c>
      <c r="P11" s="73">
        <f>REMA!AS8</f>
        <v>0</v>
      </c>
      <c r="Q11" s="73">
        <f>REMA!AT8</f>
        <v>0</v>
      </c>
      <c r="R11" s="73">
        <f>REMA!AU8</f>
        <v>0</v>
      </c>
      <c r="S11" s="73">
        <f>REMA!AV8</f>
        <v>0</v>
      </c>
      <c r="T11" s="73">
        <f>REMA!AW8</f>
        <v>0</v>
      </c>
      <c r="U11" s="482">
        <f t="shared" si="1"/>
        <v>328</v>
      </c>
      <c r="V11" s="74">
        <f>Poblacion2024!Q8</f>
        <v>2583</v>
      </c>
      <c r="W11" s="40">
        <f t="shared" si="2"/>
        <v>0.12698412698412698</v>
      </c>
      <c r="X11" s="42">
        <f t="shared" si="3"/>
        <v>0.39</v>
      </c>
      <c r="Y11" s="46">
        <f t="shared" si="4"/>
        <v>9.3600000000000003E-2</v>
      </c>
      <c r="Z11" s="113">
        <f t="shared" si="0"/>
        <v>1</v>
      </c>
      <c r="AA11" s="77">
        <f t="shared" si="5"/>
        <v>6.25E-2</v>
      </c>
      <c r="AB11" s="146">
        <f t="shared" si="6"/>
        <v>0.39</v>
      </c>
      <c r="AC11" s="146">
        <f t="shared" si="7"/>
        <v>0.12698412698412698</v>
      </c>
      <c r="AD11" s="147">
        <f t="shared" si="8"/>
        <v>0.32560032560032559</v>
      </c>
      <c r="AE11" s="502">
        <f t="shared" si="9"/>
        <v>2583</v>
      </c>
      <c r="AF11" s="503">
        <f t="shared" si="10"/>
        <v>1007.37</v>
      </c>
      <c r="AG11" s="502">
        <f t="shared" si="11"/>
        <v>328</v>
      </c>
      <c r="AH11" s="503">
        <f t="shared" si="12"/>
        <v>83.947500000000005</v>
      </c>
      <c r="AI11" s="503">
        <f t="shared" si="13"/>
        <v>419.73750000000001</v>
      </c>
      <c r="AJ11" s="503">
        <f t="shared" si="14"/>
        <v>328</v>
      </c>
      <c r="AK11" s="99">
        <f t="shared" si="15"/>
        <v>0.78144078144078144</v>
      </c>
      <c r="AL11" s="431">
        <f t="shared" si="16"/>
        <v>-91.737500000000011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442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0</v>
      </c>
      <c r="O12" s="73">
        <f>REMA!AR9</f>
        <v>0</v>
      </c>
      <c r="P12" s="73">
        <f>REMA!AS9</f>
        <v>0</v>
      </c>
      <c r="Q12" s="73">
        <f>REMA!AT9</f>
        <v>0</v>
      </c>
      <c r="R12" s="73">
        <f>REMA!AU9</f>
        <v>0</v>
      </c>
      <c r="S12" s="73">
        <f>REMA!AV9</f>
        <v>0</v>
      </c>
      <c r="T12" s="73">
        <f>REMA!AW9</f>
        <v>0</v>
      </c>
      <c r="U12" s="482">
        <f t="shared" si="1"/>
        <v>445</v>
      </c>
      <c r="V12" s="74">
        <f>Poblacion2024!Q9</f>
        <v>2876.8032000000003</v>
      </c>
      <c r="W12" s="40">
        <f t="shared" si="2"/>
        <v>0.15468558989367084</v>
      </c>
      <c r="X12" s="42">
        <f t="shared" si="3"/>
        <v>0.39</v>
      </c>
      <c r="Y12" s="46">
        <f t="shared" si="4"/>
        <v>9.3600000000000003E-2</v>
      </c>
      <c r="Z12" s="113">
        <f t="shared" si="0"/>
        <v>1</v>
      </c>
      <c r="AA12" s="77">
        <f t="shared" si="5"/>
        <v>6.25E-2</v>
      </c>
      <c r="AB12" s="146">
        <f t="shared" si="6"/>
        <v>0.39</v>
      </c>
      <c r="AC12" s="146">
        <f t="shared" si="7"/>
        <v>0.15468558989367084</v>
      </c>
      <c r="AD12" s="147">
        <f t="shared" si="8"/>
        <v>0.39662971767607907</v>
      </c>
      <c r="AE12" s="502">
        <f t="shared" si="9"/>
        <v>2876.8032000000003</v>
      </c>
      <c r="AF12" s="503">
        <f t="shared" si="10"/>
        <v>1121.9532480000003</v>
      </c>
      <c r="AG12" s="502">
        <f t="shared" si="11"/>
        <v>445</v>
      </c>
      <c r="AH12" s="503">
        <f t="shared" si="12"/>
        <v>93.496104000000017</v>
      </c>
      <c r="AI12" s="503">
        <f t="shared" si="13"/>
        <v>467.48052000000007</v>
      </c>
      <c r="AJ12" s="503">
        <f t="shared" si="14"/>
        <v>445</v>
      </c>
      <c r="AK12" s="99">
        <f t="shared" si="15"/>
        <v>0.9519113224225898</v>
      </c>
      <c r="AL12" s="431">
        <f t="shared" si="16"/>
        <v>-22.48052000000007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443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0</v>
      </c>
      <c r="O13" s="73">
        <f>REMA!AR10</f>
        <v>0</v>
      </c>
      <c r="P13" s="73">
        <f>REMA!AS10</f>
        <v>0</v>
      </c>
      <c r="Q13" s="73">
        <f>REMA!AT10</f>
        <v>0</v>
      </c>
      <c r="R13" s="73">
        <f>REMA!AU10</f>
        <v>0</v>
      </c>
      <c r="S13" s="73">
        <f>REMA!AV10</f>
        <v>0</v>
      </c>
      <c r="T13" s="73">
        <f>REMA!AW10</f>
        <v>0</v>
      </c>
      <c r="U13" s="482">
        <f t="shared" si="1"/>
        <v>483</v>
      </c>
      <c r="V13" s="74">
        <f>Poblacion2024!Q10</f>
        <v>2707</v>
      </c>
      <c r="W13" s="40">
        <f t="shared" si="2"/>
        <v>0.17842630217953453</v>
      </c>
      <c r="X13" s="42">
        <f t="shared" si="3"/>
        <v>0.39</v>
      </c>
      <c r="Y13" s="46">
        <f t="shared" si="4"/>
        <v>9.3600000000000003E-2</v>
      </c>
      <c r="Z13" s="113">
        <f t="shared" si="0"/>
        <v>1</v>
      </c>
      <c r="AA13" s="77">
        <f t="shared" si="5"/>
        <v>6.25E-2</v>
      </c>
      <c r="AB13" s="146">
        <f t="shared" si="6"/>
        <v>0.39</v>
      </c>
      <c r="AC13" s="146">
        <f t="shared" si="7"/>
        <v>0.17842630217953453</v>
      </c>
      <c r="AD13" s="147">
        <f t="shared" si="8"/>
        <v>0.45750333892188338</v>
      </c>
      <c r="AE13" s="502">
        <f t="shared" si="9"/>
        <v>2707</v>
      </c>
      <c r="AF13" s="503">
        <f t="shared" si="10"/>
        <v>1055.73</v>
      </c>
      <c r="AG13" s="502">
        <f t="shared" si="11"/>
        <v>483</v>
      </c>
      <c r="AH13" s="503">
        <f t="shared" si="12"/>
        <v>87.977500000000006</v>
      </c>
      <c r="AI13" s="503">
        <f t="shared" si="13"/>
        <v>439.88750000000005</v>
      </c>
      <c r="AJ13" s="503">
        <f t="shared" si="14"/>
        <v>483</v>
      </c>
      <c r="AK13" s="99">
        <f t="shared" si="15"/>
        <v>1.0980080134125201</v>
      </c>
      <c r="AL13" s="431">
        <f t="shared" si="16"/>
        <v>43.112499999999955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444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0</v>
      </c>
      <c r="O14" s="73">
        <f>REMA!AR11</f>
        <v>0</v>
      </c>
      <c r="P14" s="73">
        <f>REMA!AS11</f>
        <v>0</v>
      </c>
      <c r="Q14" s="73">
        <f>REMA!AT11</f>
        <v>0</v>
      </c>
      <c r="R14" s="73">
        <f>REMA!AU11</f>
        <v>0</v>
      </c>
      <c r="S14" s="73">
        <f>REMA!AV11</f>
        <v>0</v>
      </c>
      <c r="T14" s="73">
        <f>REMA!AW11</f>
        <v>0</v>
      </c>
      <c r="U14" s="482">
        <f t="shared" si="1"/>
        <v>37</v>
      </c>
      <c r="V14" s="74">
        <f>Poblacion2024!Q11</f>
        <v>121.91399999999999</v>
      </c>
      <c r="W14" s="40">
        <f t="shared" si="2"/>
        <v>0.30349262594943982</v>
      </c>
      <c r="X14" s="42">
        <f t="shared" si="3"/>
        <v>0.39</v>
      </c>
      <c r="Y14" s="46">
        <f t="shared" si="4"/>
        <v>9.3600000000000003E-2</v>
      </c>
      <c r="Z14" s="113">
        <f t="shared" si="0"/>
        <v>1</v>
      </c>
      <c r="AA14" s="77">
        <f t="shared" si="5"/>
        <v>6.25E-2</v>
      </c>
      <c r="AB14" s="146">
        <f t="shared" si="6"/>
        <v>0.39</v>
      </c>
      <c r="AC14" s="146">
        <f t="shared" si="7"/>
        <v>0.30349262594943982</v>
      </c>
      <c r="AD14" s="147">
        <f t="shared" si="8"/>
        <v>0.77818622038317897</v>
      </c>
      <c r="AE14" s="502">
        <f t="shared" si="9"/>
        <v>121.91399999999999</v>
      </c>
      <c r="AF14" s="503">
        <f t="shared" si="10"/>
        <v>47.546459999999996</v>
      </c>
      <c r="AG14" s="502">
        <f t="shared" si="11"/>
        <v>37</v>
      </c>
      <c r="AH14" s="503">
        <f t="shared" si="12"/>
        <v>3.9622049999999995</v>
      </c>
      <c r="AI14" s="503">
        <f t="shared" si="13"/>
        <v>19.811024999999997</v>
      </c>
      <c r="AJ14" s="503">
        <f t="shared" si="14"/>
        <v>37</v>
      </c>
      <c r="AK14" s="99">
        <f t="shared" si="15"/>
        <v>1.8676469289196296</v>
      </c>
      <c r="AL14" s="431">
        <f t="shared" si="16"/>
        <v>17.188975000000003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/>
      <c r="I15" s="114">
        <f>REMA!AL12</f>
        <v>0</v>
      </c>
      <c r="J15" s="114">
        <f>REMA!AM12</f>
        <v>0</v>
      </c>
      <c r="K15" s="114">
        <f>REMA!AN12</f>
        <v>0</v>
      </c>
      <c r="L15" s="114">
        <f>REMA!AO12</f>
        <v>0</v>
      </c>
      <c r="M15" s="114">
        <f>REMA!AP12</f>
        <v>0</v>
      </c>
      <c r="N15" s="114">
        <f>REMA!AQ12</f>
        <v>0</v>
      </c>
      <c r="O15" s="114">
        <f>REMA!AR12</f>
        <v>0</v>
      </c>
      <c r="P15" s="114">
        <f>REMA!AS12</f>
        <v>0</v>
      </c>
      <c r="Q15" s="114">
        <f>REMA!AT12</f>
        <v>0</v>
      </c>
      <c r="R15" s="114">
        <f>REMA!AU12</f>
        <v>0</v>
      </c>
      <c r="S15" s="114">
        <f>REMA!AV12</f>
        <v>0</v>
      </c>
      <c r="T15" s="114">
        <f>REMA!AW12</f>
        <v>0</v>
      </c>
      <c r="U15" s="603">
        <f t="shared" si="1"/>
        <v>0</v>
      </c>
      <c r="V15" s="115">
        <f>Poblacion2024!Q12</f>
        <v>759.19680000000005</v>
      </c>
      <c r="W15" s="54">
        <f t="shared" si="2"/>
        <v>0</v>
      </c>
      <c r="X15" s="55">
        <f t="shared" si="3"/>
        <v>0.39</v>
      </c>
      <c r="Y15" s="46">
        <f t="shared" si="4"/>
        <v>9.3600000000000003E-2</v>
      </c>
      <c r="Z15" s="116">
        <f t="shared" si="0"/>
        <v>0</v>
      </c>
      <c r="AA15" s="77">
        <f t="shared" si="5"/>
        <v>0</v>
      </c>
      <c r="AB15" s="545">
        <f t="shared" si="6"/>
        <v>0.39</v>
      </c>
      <c r="AC15" s="545">
        <f t="shared" si="7"/>
        <v>0</v>
      </c>
      <c r="AD15" s="546">
        <f t="shared" si="8"/>
        <v>0</v>
      </c>
      <c r="AE15" s="604">
        <f t="shared" si="9"/>
        <v>759.19680000000005</v>
      </c>
      <c r="AF15" s="605">
        <f t="shared" si="10"/>
        <v>296.08675200000005</v>
      </c>
      <c r="AG15" s="604">
        <f t="shared" si="11"/>
        <v>0</v>
      </c>
      <c r="AH15" s="503">
        <f t="shared" si="12"/>
        <v>24.673896000000003</v>
      </c>
      <c r="AI15" s="605">
        <f t="shared" si="13"/>
        <v>123.36948000000001</v>
      </c>
      <c r="AJ15" s="605">
        <f t="shared" si="14"/>
        <v>0</v>
      </c>
      <c r="AK15" s="547">
        <f t="shared" si="15"/>
        <v>0</v>
      </c>
      <c r="AL15" s="431">
        <f t="shared" si="16"/>
        <v>-123.36948000000001</v>
      </c>
    </row>
    <row r="16" spans="1:39" ht="18" thickBot="1" x14ac:dyDescent="0.35">
      <c r="A16"/>
      <c r="B16"/>
      <c r="C16" s="64"/>
      <c r="D16" s="65"/>
      <c r="E16" s="66"/>
      <c r="F16" s="106"/>
      <c r="G16" s="544" t="s">
        <v>15</v>
      </c>
      <c r="H16" s="85"/>
      <c r="I16" s="85">
        <f>SUM(I9:I15)</f>
        <v>769</v>
      </c>
      <c r="J16" s="85">
        <f t="shared" ref="J16:T16" si="17">SUM(J9:J15)</f>
        <v>354</v>
      </c>
      <c r="K16" s="85">
        <f t="shared" si="17"/>
        <v>360</v>
      </c>
      <c r="L16" s="85">
        <f t="shared" si="17"/>
        <v>607</v>
      </c>
      <c r="M16" s="85">
        <f t="shared" si="17"/>
        <v>639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606">
        <f>SUM(U9:U15)</f>
        <v>2729</v>
      </c>
      <c r="V16" s="542">
        <f>SUM(V9:V15)</f>
        <v>22596.000000000004</v>
      </c>
      <c r="W16" s="481">
        <f t="shared" si="2"/>
        <v>0.12077358824570719</v>
      </c>
      <c r="X16" s="512">
        <f t="shared" si="3"/>
        <v>0.39</v>
      </c>
      <c r="Y16" s="46">
        <f t="shared" si="4"/>
        <v>9.3600000000000003E-2</v>
      </c>
      <c r="Z16" s="513">
        <f t="shared" si="0"/>
        <v>1</v>
      </c>
      <c r="AA16" s="514">
        <f t="shared" si="5"/>
        <v>6.25E-2</v>
      </c>
      <c r="AB16" s="548">
        <f t="shared" si="6"/>
        <v>0.39</v>
      </c>
      <c r="AC16" s="548">
        <f t="shared" si="7"/>
        <v>0.12077358824570719</v>
      </c>
      <c r="AD16" s="549">
        <f t="shared" si="8"/>
        <v>0.30967586729668511</v>
      </c>
      <c r="AE16" s="607">
        <f t="shared" si="9"/>
        <v>22596.000000000004</v>
      </c>
      <c r="AF16" s="608">
        <f t="shared" si="10"/>
        <v>8812.4400000000023</v>
      </c>
      <c r="AG16" s="607">
        <f t="shared" si="11"/>
        <v>2729</v>
      </c>
      <c r="AH16" s="503">
        <f t="shared" si="12"/>
        <v>734.37000000000023</v>
      </c>
      <c r="AI16" s="607">
        <f t="shared" si="13"/>
        <v>3671.8500000000013</v>
      </c>
      <c r="AJ16" s="607">
        <f t="shared" si="14"/>
        <v>2729</v>
      </c>
      <c r="AK16" s="552">
        <f t="shared" si="15"/>
        <v>0.74322208151204405</v>
      </c>
      <c r="AL16" s="431">
        <f t="shared" si="16"/>
        <v>-942.85000000000127</v>
      </c>
    </row>
    <row r="17" spans="3:24" x14ac:dyDescent="0.25">
      <c r="C17" s="64"/>
      <c r="D17" s="65"/>
      <c r="X17" s="57"/>
    </row>
    <row r="28" spans="3:24" x14ac:dyDescent="0.25">
      <c r="E28" s="148" t="s">
        <v>93</v>
      </c>
      <c r="F28" s="149" t="s">
        <v>94</v>
      </c>
    </row>
    <row r="29" spans="3:24" x14ac:dyDescent="0.25">
      <c r="E29" s="150">
        <v>107307</v>
      </c>
      <c r="F29" s="151" t="s">
        <v>95</v>
      </c>
    </row>
    <row r="30" spans="3:24" x14ac:dyDescent="0.25">
      <c r="E30" s="150">
        <v>107308</v>
      </c>
      <c r="F30" s="151" t="s">
        <v>96</v>
      </c>
    </row>
    <row r="31" spans="3:24" x14ac:dyDescent="0.25">
      <c r="E31" s="150">
        <v>107353</v>
      </c>
      <c r="F31" s="151" t="s">
        <v>97</v>
      </c>
    </row>
    <row r="32" spans="3:24" x14ac:dyDescent="0.25">
      <c r="E32" s="150">
        <v>107356</v>
      </c>
      <c r="F32" s="151" t="s">
        <v>98</v>
      </c>
    </row>
    <row r="33" spans="5:6" x14ac:dyDescent="0.25">
      <c r="E33" s="150">
        <v>107357</v>
      </c>
      <c r="F33" s="151" t="s">
        <v>99</v>
      </c>
    </row>
    <row r="34" spans="5:6" x14ac:dyDescent="0.25">
      <c r="E34" s="150">
        <v>107400</v>
      </c>
      <c r="F34" s="151" t="s">
        <v>100</v>
      </c>
    </row>
    <row r="35" spans="5:6" x14ac:dyDescent="0.25">
      <c r="E35" s="152">
        <v>107756</v>
      </c>
      <c r="F35" s="153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B1" zoomScale="70" zoomScaleNormal="70" workbookViewId="0">
      <selection activeCell="AA18" sqref="AA1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7" t="str">
        <f>+NOMBRE!B7</f>
        <v>ENERO - MAYO 2024</v>
      </c>
      <c r="X2" s="847"/>
      <c r="Y2" s="847"/>
      <c r="Z2" s="847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848" t="s">
        <v>486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96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38" ht="23.25" customHeight="1" thickBot="1" x14ac:dyDescent="0.3">
      <c r="G5" s="58"/>
      <c r="H5" s="897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9"/>
      <c r="AA5" s="5"/>
      <c r="AB5" s="5"/>
      <c r="AD5" s="6"/>
      <c r="AF5" s="5"/>
      <c r="AG5" s="88" t="s">
        <v>46</v>
      </c>
      <c r="AH5" s="89">
        <f>meta3!AB2</f>
        <v>5</v>
      </c>
      <c r="AI5" s="6"/>
      <c r="AK5" s="5"/>
    </row>
    <row r="6" spans="1:38" ht="57" customHeight="1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4"/>
      <c r="U6" s="8" t="s">
        <v>5</v>
      </c>
      <c r="V6" s="854" t="s">
        <v>6</v>
      </c>
      <c r="W6" s="856">
        <f>+NOMBRE!$B$9</f>
        <v>2024</v>
      </c>
      <c r="X6" s="857"/>
      <c r="Y6" s="858" t="s">
        <v>7</v>
      </c>
      <c r="Z6" s="859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158.25" customHeight="1" thickBot="1" x14ac:dyDescent="0.3">
      <c r="G7" s="609" t="s">
        <v>438</v>
      </c>
      <c r="H7" s="900" t="s">
        <v>102</v>
      </c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1"/>
      <c r="U7" s="11" t="s">
        <v>103</v>
      </c>
      <c r="V7" s="855"/>
      <c r="W7" s="12" t="s">
        <v>11</v>
      </c>
      <c r="X7" s="12" t="s">
        <v>43</v>
      </c>
      <c r="Y7" s="14" t="s">
        <v>13</v>
      </c>
      <c r="Z7" s="14" t="s">
        <v>518</v>
      </c>
      <c r="AA7" s="91" t="s">
        <v>57</v>
      </c>
      <c r="AB7" s="91" t="s">
        <v>58</v>
      </c>
      <c r="AC7" s="497" t="s">
        <v>59</v>
      </c>
      <c r="AD7" s="501" t="s">
        <v>60</v>
      </c>
      <c r="AE7" s="501" t="s">
        <v>61</v>
      </c>
      <c r="AF7" s="501" t="s">
        <v>62</v>
      </c>
      <c r="AG7" s="501" t="s">
        <v>63</v>
      </c>
      <c r="AH7" s="501" t="s">
        <v>64</v>
      </c>
      <c r="AI7" s="501" t="s">
        <v>65</v>
      </c>
      <c r="AJ7" s="499" t="s">
        <v>66</v>
      </c>
      <c r="AK7" s="93" t="s">
        <v>67</v>
      </c>
    </row>
    <row r="8" spans="1:38" ht="48" customHeight="1" thickBot="1" x14ac:dyDescent="0.3">
      <c r="G8" s="440"/>
      <c r="H8" s="453" t="s">
        <v>189</v>
      </c>
      <c r="I8" s="453" t="s">
        <v>190</v>
      </c>
      <c r="J8" s="453" t="s">
        <v>191</v>
      </c>
      <c r="K8" s="453" t="s">
        <v>192</v>
      </c>
      <c r="L8" s="453" t="s">
        <v>193</v>
      </c>
      <c r="M8" s="453" t="s">
        <v>194</v>
      </c>
      <c r="N8" s="453" t="s">
        <v>195</v>
      </c>
      <c r="O8" s="453" t="s">
        <v>196</v>
      </c>
      <c r="P8" s="453" t="s">
        <v>428</v>
      </c>
      <c r="Q8" s="453" t="s">
        <v>198</v>
      </c>
      <c r="R8" s="453" t="s">
        <v>199</v>
      </c>
      <c r="S8" s="453" t="s">
        <v>200</v>
      </c>
      <c r="T8" s="454" t="s">
        <v>201</v>
      </c>
      <c r="U8" s="442"/>
      <c r="V8" s="443"/>
      <c r="W8" s="656">
        <f>indicadores!E26</f>
        <v>0.95</v>
      </c>
      <c r="X8" s="656">
        <f>indicadores!$D$54</f>
        <v>0.24</v>
      </c>
      <c r="Y8" s="444"/>
      <c r="Z8" s="444">
        <v>5.49</v>
      </c>
      <c r="AA8" s="94" t="s">
        <v>68</v>
      </c>
      <c r="AB8" s="94" t="s">
        <v>69</v>
      </c>
      <c r="AC8" s="94" t="s">
        <v>70</v>
      </c>
      <c r="AD8" s="495" t="s">
        <v>71</v>
      </c>
      <c r="AE8" s="495" t="s">
        <v>72</v>
      </c>
      <c r="AF8" s="495" t="s">
        <v>73</v>
      </c>
      <c r="AG8" s="495" t="s">
        <v>74</v>
      </c>
      <c r="AH8" s="495" t="s">
        <v>75</v>
      </c>
      <c r="AI8" s="495" t="s">
        <v>76</v>
      </c>
      <c r="AJ8" s="94" t="s">
        <v>77</v>
      </c>
      <c r="AK8" s="94" t="s">
        <v>78</v>
      </c>
    </row>
    <row r="9" spans="1:38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0</v>
      </c>
      <c r="N9" s="68">
        <f>REMA!CH6</f>
        <v>0</v>
      </c>
      <c r="O9" s="68">
        <f>REMA!CI6</f>
        <v>0</v>
      </c>
      <c r="P9" s="68">
        <f>REMA!CJ6</f>
        <v>0</v>
      </c>
      <c r="Q9" s="68">
        <f>REMA!CK6</f>
        <v>0</v>
      </c>
      <c r="R9" s="68">
        <f>REMA!CL6</f>
        <v>0</v>
      </c>
      <c r="S9" s="68">
        <f>REMA!CM6</f>
        <v>0</v>
      </c>
      <c r="T9" s="487">
        <f>SUM(H9:S9)</f>
        <v>91</v>
      </c>
      <c r="U9" s="74">
        <f>REMP!K6</f>
        <v>232</v>
      </c>
      <c r="V9" s="35">
        <f>IF(U9=0,1,+T9/U9)</f>
        <v>0.39224137931034481</v>
      </c>
      <c r="W9" s="37">
        <f>$W$8</f>
        <v>0.95</v>
      </c>
      <c r="X9" s="37">
        <f>+W9*X8</f>
        <v>0.22799999999999998</v>
      </c>
      <c r="Y9" s="110">
        <f t="shared" ref="Y9:Y16" si="0">IF(+V9/X9&gt;1,1,+V9/X9)</f>
        <v>1</v>
      </c>
      <c r="Z9" s="71">
        <f>+Y9*$Z$8/100</f>
        <v>5.4900000000000004E-2</v>
      </c>
      <c r="AA9" s="146">
        <f>W9</f>
        <v>0.95</v>
      </c>
      <c r="AB9" s="146">
        <f>(AF9/AD9)</f>
        <v>0.39224137931034481</v>
      </c>
      <c r="AC9" s="498">
        <f>AB9/AA9</f>
        <v>0.41288566243194191</v>
      </c>
      <c r="AD9" s="502">
        <f>U9</f>
        <v>232</v>
      </c>
      <c r="AE9" s="503">
        <f>AD9*AA9</f>
        <v>220.39999999999998</v>
      </c>
      <c r="AF9" s="502">
        <f>T9</f>
        <v>91</v>
      </c>
      <c r="AG9" s="503">
        <f>AE9/$AH$4</f>
        <v>18.366666666666664</v>
      </c>
      <c r="AH9" s="503">
        <f>AG9*$AH$5</f>
        <v>91.833333333333314</v>
      </c>
      <c r="AI9" s="503">
        <f>T9</f>
        <v>91</v>
      </c>
      <c r="AJ9" s="500">
        <f>AI9/AH9</f>
        <v>0.99092558983666079</v>
      </c>
      <c r="AK9" s="431">
        <f>(AH9-AI9)*-1</f>
        <v>-0.83333333333331439</v>
      </c>
    </row>
    <row r="10" spans="1:38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0</v>
      </c>
      <c r="N10" s="73">
        <f>REMA!CH7</f>
        <v>0</v>
      </c>
      <c r="O10" s="73">
        <f>REMA!CI7</f>
        <v>0</v>
      </c>
      <c r="P10" s="73">
        <f>REMA!CJ7</f>
        <v>0</v>
      </c>
      <c r="Q10" s="73">
        <f>REMA!CK7</f>
        <v>0</v>
      </c>
      <c r="R10" s="73">
        <f>REMA!CL7</f>
        <v>0</v>
      </c>
      <c r="S10" s="73">
        <f>REMA!CM7</f>
        <v>0</v>
      </c>
      <c r="T10" s="483">
        <f>SUM(H10:S10)</f>
        <v>74</v>
      </c>
      <c r="U10" s="74">
        <f>REMP!K7</f>
        <v>200</v>
      </c>
      <c r="V10" s="40">
        <f>IF(U10=0,1,+T10/U10)</f>
        <v>0.37</v>
      </c>
      <c r="W10" s="42">
        <f t="shared" ref="W10:W16" si="1">$W$8</f>
        <v>0.95</v>
      </c>
      <c r="X10" s="37">
        <f t="shared" ref="X10:X16" si="2">+W10*X9</f>
        <v>0.21659999999999996</v>
      </c>
      <c r="Y10" s="113">
        <f t="shared" si="0"/>
        <v>1</v>
      </c>
      <c r="Z10" s="71">
        <f t="shared" ref="Z10:Z16" si="3">+Y10*$Z$8/100</f>
        <v>5.4900000000000004E-2</v>
      </c>
      <c r="AA10" s="146">
        <f t="shared" ref="AA10:AA16" si="4">W10</f>
        <v>0.95</v>
      </c>
      <c r="AB10" s="146">
        <f t="shared" ref="AB10:AB16" si="5">(AF10/AD10)</f>
        <v>0.37</v>
      </c>
      <c r="AC10" s="498">
        <f t="shared" ref="AC10:AC16" si="6">AB10/AA10</f>
        <v>0.38947368421052631</v>
      </c>
      <c r="AD10" s="502">
        <f t="shared" ref="AD10:AD16" si="7">U10</f>
        <v>200</v>
      </c>
      <c r="AE10" s="503">
        <f t="shared" ref="AE10:AE16" si="8">AD10*AA10</f>
        <v>190</v>
      </c>
      <c r="AF10" s="502">
        <f t="shared" ref="AF10:AF16" si="9">T10</f>
        <v>74</v>
      </c>
      <c r="AG10" s="503">
        <f t="shared" ref="AG10:AG16" si="10">AE10/$AH$4</f>
        <v>15.833333333333334</v>
      </c>
      <c r="AH10" s="503">
        <f t="shared" ref="AH10:AH16" si="11">AG10*$AH$5</f>
        <v>79.166666666666671</v>
      </c>
      <c r="AI10" s="503">
        <f t="shared" ref="AI10:AI16" si="12">T10</f>
        <v>74</v>
      </c>
      <c r="AJ10" s="500">
        <f t="shared" ref="AJ10:AJ16" si="13">AI10/AH10</f>
        <v>0.93473684210526309</v>
      </c>
      <c r="AK10" s="431">
        <f t="shared" ref="AK10:AK16" si="14">(AH10-AI10)*-1</f>
        <v>-5.1666666666666714</v>
      </c>
    </row>
    <row r="11" spans="1:38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0</v>
      </c>
      <c r="N11" s="73">
        <f>REMA!CH8</f>
        <v>0</v>
      </c>
      <c r="O11" s="73">
        <f>REMA!CI8</f>
        <v>0</v>
      </c>
      <c r="P11" s="73">
        <f>REMA!CJ8</f>
        <v>0</v>
      </c>
      <c r="Q11" s="73">
        <f>REMA!CK8</f>
        <v>0</v>
      </c>
      <c r="R11" s="73">
        <f>REMA!CL8</f>
        <v>0</v>
      </c>
      <c r="S11" s="73">
        <f>REMA!CM8</f>
        <v>0</v>
      </c>
      <c r="T11" s="483">
        <f t="shared" ref="T11:T15" si="15">SUM(H11:S11)</f>
        <v>58</v>
      </c>
      <c r="U11" s="74">
        <f>REMP!K8</f>
        <v>145</v>
      </c>
      <c r="V11" s="40">
        <f t="shared" ref="V11:V16" si="16">IF(U11=0,1,+T11/U11)</f>
        <v>0.4</v>
      </c>
      <c r="W11" s="42">
        <f t="shared" si="1"/>
        <v>0.95</v>
      </c>
      <c r="X11" s="37">
        <f t="shared" si="2"/>
        <v>0.20576999999999995</v>
      </c>
      <c r="Y11" s="113">
        <f t="shared" si="0"/>
        <v>1</v>
      </c>
      <c r="Z11" s="71">
        <f t="shared" si="3"/>
        <v>5.4900000000000004E-2</v>
      </c>
      <c r="AA11" s="146">
        <f t="shared" si="4"/>
        <v>0.95</v>
      </c>
      <c r="AB11" s="146">
        <f t="shared" si="5"/>
        <v>0.4</v>
      </c>
      <c r="AC11" s="498">
        <f t="shared" si="6"/>
        <v>0.4210526315789474</v>
      </c>
      <c r="AD11" s="502">
        <f t="shared" si="7"/>
        <v>145</v>
      </c>
      <c r="AE11" s="503">
        <f t="shared" si="8"/>
        <v>137.75</v>
      </c>
      <c r="AF11" s="502">
        <f t="shared" si="9"/>
        <v>58</v>
      </c>
      <c r="AG11" s="503">
        <f t="shared" si="10"/>
        <v>11.479166666666666</v>
      </c>
      <c r="AH11" s="503">
        <f t="shared" si="11"/>
        <v>57.395833333333329</v>
      </c>
      <c r="AI11" s="503">
        <f t="shared" si="12"/>
        <v>58</v>
      </c>
      <c r="AJ11" s="500">
        <f t="shared" si="13"/>
        <v>1.0105263157894737</v>
      </c>
      <c r="AK11" s="431">
        <f t="shared" si="14"/>
        <v>0.6041666666666714</v>
      </c>
    </row>
    <row r="12" spans="1:38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0</v>
      </c>
      <c r="N12" s="73">
        <f>REMA!CH9</f>
        <v>0</v>
      </c>
      <c r="O12" s="73">
        <f>REMA!CI9</f>
        <v>0</v>
      </c>
      <c r="P12" s="73">
        <f>REMA!CJ9</f>
        <v>0</v>
      </c>
      <c r="Q12" s="73">
        <f>REMA!CK9</f>
        <v>0</v>
      </c>
      <c r="R12" s="73">
        <f>REMA!CL9</f>
        <v>0</v>
      </c>
      <c r="S12" s="73">
        <f>REMA!CM9</f>
        <v>0</v>
      </c>
      <c r="T12" s="483">
        <f t="shared" si="15"/>
        <v>58</v>
      </c>
      <c r="U12" s="74">
        <f>REMP!K9</f>
        <v>176</v>
      </c>
      <c r="V12" s="40">
        <f t="shared" si="16"/>
        <v>0.32954545454545453</v>
      </c>
      <c r="W12" s="42">
        <f t="shared" si="1"/>
        <v>0.95</v>
      </c>
      <c r="X12" s="37">
        <f t="shared" si="2"/>
        <v>0.19548149999999995</v>
      </c>
      <c r="Y12" s="113">
        <f t="shared" si="0"/>
        <v>1</v>
      </c>
      <c r="Z12" s="71">
        <f t="shared" si="3"/>
        <v>5.4900000000000004E-2</v>
      </c>
      <c r="AA12" s="146">
        <f t="shared" si="4"/>
        <v>0.95</v>
      </c>
      <c r="AB12" s="146">
        <f t="shared" si="5"/>
        <v>0.32954545454545453</v>
      </c>
      <c r="AC12" s="498">
        <f t="shared" si="6"/>
        <v>0.34688995215311003</v>
      </c>
      <c r="AD12" s="502">
        <f t="shared" si="7"/>
        <v>176</v>
      </c>
      <c r="AE12" s="503">
        <f t="shared" si="8"/>
        <v>167.2</v>
      </c>
      <c r="AF12" s="502">
        <f t="shared" si="9"/>
        <v>58</v>
      </c>
      <c r="AG12" s="503">
        <f t="shared" si="10"/>
        <v>13.933333333333332</v>
      </c>
      <c r="AH12" s="503">
        <f t="shared" si="11"/>
        <v>69.666666666666657</v>
      </c>
      <c r="AI12" s="503">
        <f t="shared" si="12"/>
        <v>58</v>
      </c>
      <c r="AJ12" s="500">
        <f t="shared" si="13"/>
        <v>0.83253588516746424</v>
      </c>
      <c r="AK12" s="431">
        <f t="shared" si="14"/>
        <v>-11.666666666666657</v>
      </c>
    </row>
    <row r="13" spans="1:38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0</v>
      </c>
      <c r="N13" s="73">
        <f>REMA!CH10</f>
        <v>0</v>
      </c>
      <c r="O13" s="73">
        <f>REMA!CI10</f>
        <v>0</v>
      </c>
      <c r="P13" s="73">
        <f>REMA!CJ10</f>
        <v>0</v>
      </c>
      <c r="Q13" s="73">
        <f>REMA!CK10</f>
        <v>0</v>
      </c>
      <c r="R13" s="73">
        <f>REMA!CL10</f>
        <v>0</v>
      </c>
      <c r="S13" s="73">
        <f>REMA!CM10</f>
        <v>0</v>
      </c>
      <c r="T13" s="483">
        <f t="shared" si="15"/>
        <v>48</v>
      </c>
      <c r="U13" s="74">
        <f>REMP!K10</f>
        <v>172</v>
      </c>
      <c r="V13" s="40">
        <f t="shared" si="16"/>
        <v>0.27906976744186046</v>
      </c>
      <c r="W13" s="42">
        <f t="shared" si="1"/>
        <v>0.95</v>
      </c>
      <c r="X13" s="37">
        <f t="shared" si="2"/>
        <v>0.18570742499999995</v>
      </c>
      <c r="Y13" s="113">
        <f t="shared" si="0"/>
        <v>1</v>
      </c>
      <c r="Z13" s="71">
        <f t="shared" si="3"/>
        <v>5.4900000000000004E-2</v>
      </c>
      <c r="AA13" s="146">
        <f t="shared" si="4"/>
        <v>0.95</v>
      </c>
      <c r="AB13" s="146">
        <f t="shared" si="5"/>
        <v>0.27906976744186046</v>
      </c>
      <c r="AC13" s="498">
        <f t="shared" si="6"/>
        <v>0.29375764993880049</v>
      </c>
      <c r="AD13" s="502">
        <f t="shared" si="7"/>
        <v>172</v>
      </c>
      <c r="AE13" s="503">
        <f t="shared" si="8"/>
        <v>163.4</v>
      </c>
      <c r="AF13" s="502">
        <f t="shared" si="9"/>
        <v>48</v>
      </c>
      <c r="AG13" s="503">
        <f t="shared" si="10"/>
        <v>13.616666666666667</v>
      </c>
      <c r="AH13" s="503">
        <f t="shared" si="11"/>
        <v>68.083333333333343</v>
      </c>
      <c r="AI13" s="503">
        <f t="shared" si="12"/>
        <v>48</v>
      </c>
      <c r="AJ13" s="500">
        <f t="shared" si="13"/>
        <v>0.70501835985312111</v>
      </c>
      <c r="AK13" s="431">
        <f t="shared" si="14"/>
        <v>-20.083333333333343</v>
      </c>
    </row>
    <row r="14" spans="1:38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0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83">
        <f t="shared" si="15"/>
        <v>1</v>
      </c>
      <c r="U14" s="74">
        <f>REMP!K11</f>
        <v>2</v>
      </c>
      <c r="V14" s="40">
        <f t="shared" si="16"/>
        <v>0.5</v>
      </c>
      <c r="W14" s="42">
        <f t="shared" si="1"/>
        <v>0.95</v>
      </c>
      <c r="X14" s="37">
        <f t="shared" si="2"/>
        <v>0.17642205374999995</v>
      </c>
      <c r="Y14" s="113">
        <f t="shared" si="0"/>
        <v>1</v>
      </c>
      <c r="Z14" s="71">
        <f t="shared" si="3"/>
        <v>5.4900000000000004E-2</v>
      </c>
      <c r="AA14" s="146">
        <f t="shared" si="4"/>
        <v>0.95</v>
      </c>
      <c r="AB14" s="146">
        <f t="shared" si="5"/>
        <v>0.5</v>
      </c>
      <c r="AC14" s="498">
        <f t="shared" si="6"/>
        <v>0.52631578947368418</v>
      </c>
      <c r="AD14" s="502">
        <f t="shared" si="7"/>
        <v>2</v>
      </c>
      <c r="AE14" s="503">
        <f t="shared" si="8"/>
        <v>1.9</v>
      </c>
      <c r="AF14" s="502">
        <f t="shared" si="9"/>
        <v>1</v>
      </c>
      <c r="AG14" s="503">
        <f t="shared" si="10"/>
        <v>0.15833333333333333</v>
      </c>
      <c r="AH14" s="503">
        <f t="shared" si="11"/>
        <v>0.79166666666666663</v>
      </c>
      <c r="AI14" s="503">
        <f t="shared" si="12"/>
        <v>1</v>
      </c>
      <c r="AJ14" s="500">
        <f t="shared" si="13"/>
        <v>1.2631578947368423</v>
      </c>
      <c r="AK14" s="431">
        <f t="shared" si="14"/>
        <v>0.20833333333333337</v>
      </c>
    </row>
    <row r="15" spans="1:38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>
        <f>REMA!CB12</f>
        <v>2</v>
      </c>
      <c r="I15" s="114">
        <f>REMA!CC12</f>
        <v>0</v>
      </c>
      <c r="J15" s="114">
        <f>REMA!CD12</f>
        <v>0</v>
      </c>
      <c r="K15" s="114">
        <f>REMA!CE12</f>
        <v>8</v>
      </c>
      <c r="L15" s="114">
        <f>REMA!CF12</f>
        <v>2</v>
      </c>
      <c r="M15" s="114">
        <f>REMA!CG12</f>
        <v>0</v>
      </c>
      <c r="N15" s="114">
        <f>REMA!CH12</f>
        <v>0</v>
      </c>
      <c r="O15" s="114">
        <f>REMA!CI12</f>
        <v>0</v>
      </c>
      <c r="P15" s="114">
        <f>REMA!CJ12</f>
        <v>0</v>
      </c>
      <c r="Q15" s="114">
        <f>REMA!CK12</f>
        <v>0</v>
      </c>
      <c r="R15" s="114">
        <f>REMA!CL12</f>
        <v>0</v>
      </c>
      <c r="S15" s="114">
        <f>REMA!CM12</f>
        <v>0</v>
      </c>
      <c r="T15" s="621">
        <f t="shared" si="15"/>
        <v>12</v>
      </c>
      <c r="U15" s="115">
        <f>REMP!K12</f>
        <v>48</v>
      </c>
      <c r="V15" s="54">
        <f t="shared" si="16"/>
        <v>0.25</v>
      </c>
      <c r="W15" s="55">
        <f t="shared" si="1"/>
        <v>0.95</v>
      </c>
      <c r="X15" s="37">
        <f t="shared" si="2"/>
        <v>0.16760095106249995</v>
      </c>
      <c r="Y15" s="116">
        <f t="shared" si="0"/>
        <v>1</v>
      </c>
      <c r="Z15" s="71">
        <f t="shared" si="3"/>
        <v>5.4900000000000004E-2</v>
      </c>
      <c r="AA15" s="545">
        <f t="shared" si="4"/>
        <v>0.95</v>
      </c>
      <c r="AB15" s="545">
        <f t="shared" si="5"/>
        <v>0.25</v>
      </c>
      <c r="AC15" s="574">
        <f t="shared" si="6"/>
        <v>0.26315789473684209</v>
      </c>
      <c r="AD15" s="604">
        <f t="shared" si="7"/>
        <v>48</v>
      </c>
      <c r="AE15" s="605">
        <f t="shared" si="8"/>
        <v>45.599999999999994</v>
      </c>
      <c r="AF15" s="604">
        <f t="shared" si="9"/>
        <v>12</v>
      </c>
      <c r="AG15" s="605">
        <f t="shared" si="10"/>
        <v>3.7999999999999994</v>
      </c>
      <c r="AH15" s="605">
        <f t="shared" si="11"/>
        <v>18.999999999999996</v>
      </c>
      <c r="AI15" s="605">
        <f t="shared" si="12"/>
        <v>12</v>
      </c>
      <c r="AJ15" s="577">
        <f t="shared" si="13"/>
        <v>0.63157894736842113</v>
      </c>
      <c r="AK15" s="585">
        <f t="shared" si="14"/>
        <v>-6.9999999999999964</v>
      </c>
    </row>
    <row r="16" spans="1:38" ht="15" customHeight="1" thickBot="1" x14ac:dyDescent="0.35">
      <c r="A16"/>
      <c r="B16"/>
      <c r="C16" s="64"/>
      <c r="D16" s="65"/>
      <c r="E16" s="66"/>
      <c r="F16" s="106"/>
      <c r="G16" s="544" t="s">
        <v>15</v>
      </c>
      <c r="H16" s="85">
        <f>SUM(H9:H15)</f>
        <v>71</v>
      </c>
      <c r="I16" s="85">
        <f t="shared" ref="I16:S16" si="17">SUM(I9:I15)</f>
        <v>53</v>
      </c>
      <c r="J16" s="85">
        <f t="shared" si="17"/>
        <v>84</v>
      </c>
      <c r="K16" s="85">
        <f t="shared" si="17"/>
        <v>85</v>
      </c>
      <c r="L16" s="85">
        <f t="shared" si="17"/>
        <v>49</v>
      </c>
      <c r="M16" s="85">
        <f t="shared" si="17"/>
        <v>0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6">
        <f>SUM(T9:T15)</f>
        <v>342</v>
      </c>
      <c r="U16" s="542">
        <f>SUM(U9:U15)</f>
        <v>975</v>
      </c>
      <c r="V16" s="481">
        <f t="shared" si="16"/>
        <v>0.35076923076923078</v>
      </c>
      <c r="W16" s="512">
        <f t="shared" si="1"/>
        <v>0.95</v>
      </c>
      <c r="X16" s="37">
        <f t="shared" si="2"/>
        <v>0.15922090350937496</v>
      </c>
      <c r="Y16" s="513">
        <f t="shared" si="0"/>
        <v>1</v>
      </c>
      <c r="Z16" s="71">
        <f t="shared" si="3"/>
        <v>5.4900000000000004E-2</v>
      </c>
      <c r="AA16" s="548">
        <f t="shared" si="4"/>
        <v>0.95</v>
      </c>
      <c r="AB16" s="548">
        <f t="shared" si="5"/>
        <v>0.35076923076923078</v>
      </c>
      <c r="AC16" s="575">
        <f t="shared" si="6"/>
        <v>0.36923076923076925</v>
      </c>
      <c r="AD16" s="607">
        <f t="shared" si="7"/>
        <v>975</v>
      </c>
      <c r="AE16" s="608">
        <f t="shared" si="8"/>
        <v>926.25</v>
      </c>
      <c r="AF16" s="607">
        <f t="shared" si="9"/>
        <v>342</v>
      </c>
      <c r="AG16" s="608">
        <f t="shared" si="10"/>
        <v>77.1875</v>
      </c>
      <c r="AH16" s="608">
        <f t="shared" si="11"/>
        <v>385.9375</v>
      </c>
      <c r="AI16" s="608">
        <f t="shared" si="12"/>
        <v>342</v>
      </c>
      <c r="AJ16" s="578">
        <f t="shared" si="13"/>
        <v>0.88615384615384618</v>
      </c>
      <c r="AK16" s="591">
        <f t="shared" si="14"/>
        <v>-43.9375</v>
      </c>
    </row>
    <row r="17" spans="3:28" x14ac:dyDescent="0.25">
      <c r="C17" s="64"/>
      <c r="D17" s="65"/>
      <c r="W17" s="57"/>
      <c r="AA17" s="122"/>
      <c r="AB17" s="122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00B050"/>
  </sheetPr>
  <dimension ref="A1:AN17"/>
  <sheetViews>
    <sheetView zoomScale="60" zoomScaleNormal="60" workbookViewId="0">
      <selection activeCell="T16" sqref="T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56"/>
      <c r="AB1" s="56"/>
      <c r="AF1" s="56"/>
      <c r="AH1" s="3"/>
      <c r="AI1" s="118"/>
      <c r="AK1" s="3"/>
      <c r="AL1" s="3"/>
    </row>
    <row r="2" spans="1:40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7" t="str">
        <f>+NOMBRE!B7</f>
        <v>ENERO - MAYO 2024</v>
      </c>
      <c r="X2" s="847"/>
      <c r="Y2" s="847"/>
      <c r="Z2" s="847"/>
      <c r="AA2" s="56"/>
      <c r="AB2" s="56"/>
      <c r="AF2" s="56"/>
      <c r="AH2" s="3"/>
      <c r="AI2" s="118"/>
      <c r="AK2" s="3"/>
      <c r="AL2" s="3"/>
    </row>
    <row r="3" spans="1:40" ht="3" customHeight="1" thickBot="1" x14ac:dyDescent="0.3"/>
    <row r="4" spans="1:40" ht="15" customHeight="1" x14ac:dyDescent="0.25">
      <c r="G4" s="58"/>
      <c r="H4" s="863" t="s">
        <v>485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49"/>
      <c r="V4" s="849"/>
      <c r="W4" s="849"/>
      <c r="X4" s="849"/>
      <c r="Y4" s="849"/>
      <c r="Z4" s="850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40" ht="33" customHeight="1" thickBot="1" x14ac:dyDescent="0.3">
      <c r="G5" s="58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3"/>
      <c r="AA5" s="5"/>
      <c r="AB5" s="5"/>
      <c r="AD5" s="6"/>
      <c r="AF5" s="5"/>
      <c r="AG5" s="88" t="s">
        <v>46</v>
      </c>
      <c r="AH5" s="89">
        <f>meta3!AB2</f>
        <v>5</v>
      </c>
      <c r="AI5" s="6"/>
      <c r="AK5" s="5"/>
    </row>
    <row r="6" spans="1:40" ht="25.5" customHeight="1" thickBot="1" x14ac:dyDescent="0.3">
      <c r="G6" s="58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4"/>
      <c r="U6" s="8" t="s">
        <v>5</v>
      </c>
      <c r="V6" s="854" t="s">
        <v>6</v>
      </c>
      <c r="W6" s="856">
        <f>+NOMBRE!$B$9</f>
        <v>2024</v>
      </c>
      <c r="X6" s="857"/>
      <c r="Y6" s="858" t="s">
        <v>7</v>
      </c>
      <c r="Z6" s="902"/>
      <c r="AA6" s="488" t="s">
        <v>47</v>
      </c>
      <c r="AB6" s="488" t="s">
        <v>48</v>
      </c>
      <c r="AC6" s="488" t="s">
        <v>49</v>
      </c>
      <c r="AD6" s="488" t="s">
        <v>50</v>
      </c>
      <c r="AE6" s="488" t="s">
        <v>51</v>
      </c>
      <c r="AF6" s="488" t="s">
        <v>52</v>
      </c>
      <c r="AG6" s="488" t="s">
        <v>45</v>
      </c>
      <c r="AH6" s="488" t="s">
        <v>53</v>
      </c>
      <c r="AI6" s="488" t="s">
        <v>54</v>
      </c>
      <c r="AJ6" s="488" t="s">
        <v>55</v>
      </c>
      <c r="AK6" s="488" t="s">
        <v>56</v>
      </c>
    </row>
    <row r="7" spans="1:40" ht="99.75" thickBot="1" x14ac:dyDescent="0.3">
      <c r="G7" s="609" t="s">
        <v>438</v>
      </c>
      <c r="H7" s="861" t="s">
        <v>448</v>
      </c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2"/>
      <c r="U7" s="11" t="s">
        <v>104</v>
      </c>
      <c r="V7" s="855"/>
      <c r="W7" s="12" t="s">
        <v>11</v>
      </c>
      <c r="X7" s="496" t="s">
        <v>472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0" ht="42.75" customHeight="1" thickBot="1" x14ac:dyDescent="0.3">
      <c r="G8" s="440"/>
      <c r="H8" s="453" t="s">
        <v>189</v>
      </c>
      <c r="I8" s="453" t="s">
        <v>190</v>
      </c>
      <c r="J8" s="453" t="s">
        <v>191</v>
      </c>
      <c r="K8" s="453" t="s">
        <v>192</v>
      </c>
      <c r="L8" s="453" t="s">
        <v>193</v>
      </c>
      <c r="M8" s="453" t="s">
        <v>194</v>
      </c>
      <c r="N8" s="453" t="s">
        <v>195</v>
      </c>
      <c r="O8" s="453" t="s">
        <v>196</v>
      </c>
      <c r="P8" s="453" t="s">
        <v>428</v>
      </c>
      <c r="Q8" s="453" t="s">
        <v>198</v>
      </c>
      <c r="R8" s="453" t="s">
        <v>199</v>
      </c>
      <c r="S8" s="453" t="s">
        <v>200</v>
      </c>
      <c r="T8" s="454" t="s">
        <v>201</v>
      </c>
      <c r="U8" s="442"/>
      <c r="V8" s="443"/>
      <c r="W8" s="657">
        <f>indicadores!E27</f>
        <v>0.19439999999999999</v>
      </c>
      <c r="X8" s="657">
        <f>indicadores!$D$54</f>
        <v>0.24</v>
      </c>
      <c r="Y8" s="444"/>
      <c r="Z8" s="491"/>
      <c r="AA8" s="495" t="s">
        <v>68</v>
      </c>
      <c r="AB8" s="495" t="s">
        <v>69</v>
      </c>
      <c r="AC8" s="495" t="s">
        <v>70</v>
      </c>
      <c r="AD8" s="495" t="s">
        <v>71</v>
      </c>
      <c r="AE8" s="495" t="s">
        <v>72</v>
      </c>
      <c r="AF8" s="495" t="s">
        <v>73</v>
      </c>
      <c r="AG8" s="495" t="s">
        <v>74</v>
      </c>
      <c r="AH8" s="495" t="s">
        <v>75</v>
      </c>
      <c r="AI8" s="495" t="s">
        <v>76</v>
      </c>
      <c r="AJ8" s="495" t="s">
        <v>77</v>
      </c>
      <c r="AK8" s="495" t="s">
        <v>78</v>
      </c>
    </row>
    <row r="9" spans="1:40" ht="26.25" customHeight="1" thickBot="1" x14ac:dyDescent="0.35">
      <c r="A9"/>
      <c r="B9"/>
      <c r="C9" s="64"/>
      <c r="D9" s="65"/>
      <c r="E9" s="66"/>
      <c r="F9" s="106"/>
      <c r="G9" s="19" t="s">
        <v>439</v>
      </c>
      <c r="H9" s="68">
        <f>REMA!DC6</f>
        <v>0</v>
      </c>
      <c r="I9" s="68">
        <f>REMA!DD6</f>
        <v>62</v>
      </c>
      <c r="J9" s="68">
        <f>REMA!DE6</f>
        <v>29</v>
      </c>
      <c r="K9" s="68">
        <f>REMA!DF6</f>
        <v>47</v>
      </c>
      <c r="L9" s="68">
        <f>REMA!DG6</f>
        <v>47</v>
      </c>
      <c r="M9" s="68">
        <f>REMA!DH6</f>
        <v>0</v>
      </c>
      <c r="N9" s="68">
        <f>REMA!DI6</f>
        <v>0</v>
      </c>
      <c r="O9" s="68">
        <f>REMA!DJ6</f>
        <v>0</v>
      </c>
      <c r="P9" s="68">
        <f>REMA!DK6</f>
        <v>0</v>
      </c>
      <c r="Q9" s="68">
        <f>REMA!DL6</f>
        <v>0</v>
      </c>
      <c r="R9" s="68">
        <f>REMA!DM6</f>
        <v>0</v>
      </c>
      <c r="S9" s="68">
        <f>REMA!DN6</f>
        <v>0</v>
      </c>
      <c r="T9" s="487">
        <f>SUM(H9:S9)</f>
        <v>185</v>
      </c>
      <c r="U9" s="86">
        <f>Poblacion2024!U6</f>
        <v>3532.473</v>
      </c>
      <c r="V9" s="35">
        <f>IF(U9=0,0,+T9/U9)</f>
        <v>5.2371242469510734E-2</v>
      </c>
      <c r="W9" s="667">
        <f>$W$8</f>
        <v>0.19439999999999999</v>
      </c>
      <c r="X9" s="667">
        <f>+W9*$X$8</f>
        <v>4.6655999999999996E-2</v>
      </c>
      <c r="Y9" s="110">
        <f t="shared" ref="Y9:Y16" si="0">IF(+V9/X9&gt;1,1,+V9/X9)</f>
        <v>1</v>
      </c>
      <c r="Z9" s="71">
        <f>+Y9*6.82/100</f>
        <v>6.8199999999999997E-2</v>
      </c>
      <c r="AA9" s="492">
        <f>W9</f>
        <v>0.19439999999999999</v>
      </c>
      <c r="AB9" s="492">
        <f>(AF9/AD9)</f>
        <v>5.2371242469510734E-2</v>
      </c>
      <c r="AC9" s="493">
        <f>AB9/AA9</f>
        <v>0.26939939541929392</v>
      </c>
      <c r="AD9" s="489">
        <f>U9</f>
        <v>3532.473</v>
      </c>
      <c r="AE9" s="490">
        <f>AD9*AA9</f>
        <v>686.71275119999996</v>
      </c>
      <c r="AF9" s="489">
        <f>T9</f>
        <v>185</v>
      </c>
      <c r="AG9" s="490">
        <f>AE9/$AH$4</f>
        <v>57.226062599999999</v>
      </c>
      <c r="AH9" s="490">
        <f>AG9*$AH$5</f>
        <v>286.130313</v>
      </c>
      <c r="AI9" s="490">
        <f>T9</f>
        <v>185</v>
      </c>
      <c r="AJ9" s="494">
        <f>AI9/AH9</f>
        <v>0.64655854900630538</v>
      </c>
      <c r="AK9" s="431">
        <f>(AH9-AI9)*-1</f>
        <v>-101.130313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0</v>
      </c>
      <c r="N10" s="73">
        <f>REMA!DI7</f>
        <v>0</v>
      </c>
      <c r="O10" s="73">
        <f>REMA!DJ7</f>
        <v>0</v>
      </c>
      <c r="P10" s="73">
        <f>REMA!DK7</f>
        <v>0</v>
      </c>
      <c r="Q10" s="73">
        <f>REMA!DL7</f>
        <v>0</v>
      </c>
      <c r="R10" s="73">
        <f>REMA!DM7</f>
        <v>0</v>
      </c>
      <c r="S10" s="73">
        <f>REMA!DN7</f>
        <v>0</v>
      </c>
      <c r="T10" s="483">
        <f>SUM(H10:S10)</f>
        <v>161</v>
      </c>
      <c r="U10" s="86">
        <f>Poblacion2024!U7</f>
        <v>3014</v>
      </c>
      <c r="V10" s="40">
        <f>IF(U10=0,0,+T10/U10)</f>
        <v>5.3417385534173856E-2</v>
      </c>
      <c r="W10" s="668">
        <f t="shared" ref="W10:W16" si="1">$W$8</f>
        <v>0.19439999999999999</v>
      </c>
      <c r="X10" s="668">
        <f t="shared" ref="X10:X16" si="2">+W10*$X$8</f>
        <v>4.6655999999999996E-2</v>
      </c>
      <c r="Y10" s="113">
        <f t="shared" si="0"/>
        <v>1</v>
      </c>
      <c r="Z10" s="77">
        <f t="shared" ref="Z10:Z16" si="3">+Y10*6.25/100</f>
        <v>6.25E-2</v>
      </c>
      <c r="AA10" s="146">
        <f t="shared" ref="AA10:AA16" si="4">W10</f>
        <v>0.19439999999999999</v>
      </c>
      <c r="AB10" s="146">
        <f t="shared" ref="AB10:AB16" si="5">(AF10/AD10)</f>
        <v>5.3417385534173856E-2</v>
      </c>
      <c r="AC10" s="147">
        <f t="shared" ref="AC10:AC16" si="6">AB10/AA10</f>
        <v>0.27478078978484494</v>
      </c>
      <c r="AD10" s="489">
        <f t="shared" ref="AD10:AD16" si="7">U10</f>
        <v>3014</v>
      </c>
      <c r="AE10" s="490">
        <f t="shared" ref="AE10:AE16" si="8">AD10*AA10</f>
        <v>585.92160000000001</v>
      </c>
      <c r="AF10" s="489">
        <f t="shared" ref="AF10:AF16" si="9">T10</f>
        <v>161</v>
      </c>
      <c r="AG10" s="490">
        <f t="shared" ref="AG10:AG16" si="10">AE10/$AH$4</f>
        <v>48.826799999999999</v>
      </c>
      <c r="AH10" s="490">
        <f t="shared" ref="AH10:AH16" si="11">AG10*$AH$5</f>
        <v>244.13399999999999</v>
      </c>
      <c r="AI10" s="490">
        <f t="shared" ref="AI10:AI16" si="12">T10</f>
        <v>161</v>
      </c>
      <c r="AJ10" s="99">
        <f t="shared" ref="AJ10:AJ16" si="13">AI10/AH10</f>
        <v>0.65947389548362789</v>
      </c>
      <c r="AK10" s="431">
        <f t="shared" ref="AK10:AK16" si="14">(AH10-AI10)*-1</f>
        <v>-83.133999999999986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0</v>
      </c>
      <c r="N11" s="73">
        <f>REMA!DI8</f>
        <v>0</v>
      </c>
      <c r="O11" s="73">
        <f>REMA!DJ8</f>
        <v>0</v>
      </c>
      <c r="P11" s="73">
        <f>REMA!DK8</f>
        <v>0</v>
      </c>
      <c r="Q11" s="73">
        <f>REMA!DL8</f>
        <v>0</v>
      </c>
      <c r="R11" s="73">
        <f>REMA!DM8</f>
        <v>0</v>
      </c>
      <c r="S11" s="73">
        <f>REMA!DN8</f>
        <v>0</v>
      </c>
      <c r="T11" s="483">
        <f t="shared" ref="T11:T15" si="15">SUM(H11:S11)</f>
        <v>102</v>
      </c>
      <c r="U11" s="658">
        <f>Poblacion2024!U8</f>
        <v>2570</v>
      </c>
      <c r="V11" s="40">
        <f t="shared" ref="V11:V16" si="16">IF(U11=0,0,+T11/U11)</f>
        <v>3.9688715953307391E-2</v>
      </c>
      <c r="W11" s="668">
        <f t="shared" si="1"/>
        <v>0.19439999999999999</v>
      </c>
      <c r="X11" s="668">
        <f t="shared" si="2"/>
        <v>4.6655999999999996E-2</v>
      </c>
      <c r="Y11" s="113">
        <f t="shared" si="0"/>
        <v>0.85066692286752821</v>
      </c>
      <c r="Z11" s="77">
        <f t="shared" si="3"/>
        <v>5.3166682679220513E-2</v>
      </c>
      <c r="AA11" s="146">
        <f t="shared" si="4"/>
        <v>0.19439999999999999</v>
      </c>
      <c r="AB11" s="146">
        <f t="shared" si="5"/>
        <v>3.9688715953307391E-2</v>
      </c>
      <c r="AC11" s="147">
        <f t="shared" si="6"/>
        <v>0.20416006148820676</v>
      </c>
      <c r="AD11" s="489">
        <f t="shared" si="7"/>
        <v>2570</v>
      </c>
      <c r="AE11" s="490">
        <f t="shared" si="8"/>
        <v>499.60799999999995</v>
      </c>
      <c r="AF11" s="489">
        <f t="shared" si="9"/>
        <v>102</v>
      </c>
      <c r="AG11" s="490">
        <f t="shared" si="10"/>
        <v>41.633999999999993</v>
      </c>
      <c r="AH11" s="490">
        <f t="shared" si="11"/>
        <v>208.16999999999996</v>
      </c>
      <c r="AI11" s="490">
        <f t="shared" si="12"/>
        <v>102</v>
      </c>
      <c r="AJ11" s="99">
        <f t="shared" si="13"/>
        <v>0.48998414757169628</v>
      </c>
      <c r="AK11" s="431">
        <f t="shared" si="14"/>
        <v>-106.16999999999996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0</v>
      </c>
      <c r="N12" s="73">
        <f>REMA!DI9</f>
        <v>0</v>
      </c>
      <c r="O12" s="73">
        <f>REMA!DJ9</f>
        <v>0</v>
      </c>
      <c r="P12" s="73">
        <f>REMA!DK9</f>
        <v>0</v>
      </c>
      <c r="Q12" s="73">
        <f>REMA!DL9</f>
        <v>0</v>
      </c>
      <c r="R12" s="73">
        <f>REMA!DM9</f>
        <v>0</v>
      </c>
      <c r="S12" s="73">
        <f>REMA!DN9</f>
        <v>0</v>
      </c>
      <c r="T12" s="483">
        <f t="shared" si="15"/>
        <v>168</v>
      </c>
      <c r="U12" s="86">
        <f>Poblacion2024!U9</f>
        <v>2713.8159999999998</v>
      </c>
      <c r="V12" s="40">
        <f t="shared" si="16"/>
        <v>6.1905449743092388E-2</v>
      </c>
      <c r="W12" s="668">
        <f t="shared" si="1"/>
        <v>0.19439999999999999</v>
      </c>
      <c r="X12" s="668">
        <f t="shared" si="2"/>
        <v>4.6655999999999996E-2</v>
      </c>
      <c r="Y12" s="113">
        <f t="shared" si="0"/>
        <v>1</v>
      </c>
      <c r="Z12" s="77">
        <f t="shared" si="3"/>
        <v>6.25E-2</v>
      </c>
      <c r="AA12" s="146">
        <f t="shared" si="4"/>
        <v>0.19439999999999999</v>
      </c>
      <c r="AB12" s="146">
        <f t="shared" si="5"/>
        <v>6.1905449743092388E-2</v>
      </c>
      <c r="AC12" s="147">
        <f t="shared" si="6"/>
        <v>0.31844367151796499</v>
      </c>
      <c r="AD12" s="489">
        <f t="shared" si="7"/>
        <v>2713.8159999999998</v>
      </c>
      <c r="AE12" s="490">
        <f t="shared" si="8"/>
        <v>527.56583039999998</v>
      </c>
      <c r="AF12" s="489">
        <f t="shared" si="9"/>
        <v>168</v>
      </c>
      <c r="AG12" s="490">
        <f t="shared" si="10"/>
        <v>43.963819199999996</v>
      </c>
      <c r="AH12" s="490">
        <f t="shared" si="11"/>
        <v>219.81909599999997</v>
      </c>
      <c r="AI12" s="490">
        <f t="shared" si="12"/>
        <v>168</v>
      </c>
      <c r="AJ12" s="99">
        <f t="shared" si="13"/>
        <v>0.76426481164311599</v>
      </c>
      <c r="AK12" s="431">
        <f t="shared" si="14"/>
        <v>-51.819095999999973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0</v>
      </c>
      <c r="N13" s="73">
        <f>REMA!DI10</f>
        <v>0</v>
      </c>
      <c r="O13" s="73">
        <f>REMA!DJ10</f>
        <v>0</v>
      </c>
      <c r="P13" s="73">
        <f>REMA!DK10</f>
        <v>0</v>
      </c>
      <c r="Q13" s="73">
        <f>REMA!DL10</f>
        <v>0</v>
      </c>
      <c r="R13" s="73">
        <f>REMA!DM10</f>
        <v>0</v>
      </c>
      <c r="S13" s="73">
        <f>REMA!DN10</f>
        <v>0</v>
      </c>
      <c r="T13" s="483">
        <f t="shared" si="15"/>
        <v>124</v>
      </c>
      <c r="U13" s="86">
        <f>Poblacion2024!U10</f>
        <v>2527</v>
      </c>
      <c r="V13" s="40">
        <f t="shared" si="16"/>
        <v>4.9070043529877323E-2</v>
      </c>
      <c r="W13" s="668">
        <f t="shared" si="1"/>
        <v>0.19439999999999999</v>
      </c>
      <c r="X13" s="668">
        <f t="shared" si="2"/>
        <v>4.6655999999999996E-2</v>
      </c>
      <c r="Y13" s="113">
        <f t="shared" si="0"/>
        <v>1</v>
      </c>
      <c r="Z13" s="77">
        <f t="shared" si="3"/>
        <v>6.25E-2</v>
      </c>
      <c r="AA13" s="146">
        <f t="shared" si="4"/>
        <v>0.19439999999999999</v>
      </c>
      <c r="AB13" s="146">
        <f t="shared" si="5"/>
        <v>4.9070043529877323E-2</v>
      </c>
      <c r="AC13" s="147">
        <f t="shared" si="6"/>
        <v>0.25241791939237307</v>
      </c>
      <c r="AD13" s="489">
        <f t="shared" si="7"/>
        <v>2527</v>
      </c>
      <c r="AE13" s="490">
        <f t="shared" si="8"/>
        <v>491.24879999999996</v>
      </c>
      <c r="AF13" s="489">
        <f t="shared" si="9"/>
        <v>124</v>
      </c>
      <c r="AG13" s="490">
        <f t="shared" si="10"/>
        <v>40.937399999999997</v>
      </c>
      <c r="AH13" s="490">
        <f t="shared" si="11"/>
        <v>204.68699999999998</v>
      </c>
      <c r="AI13" s="490">
        <f t="shared" si="12"/>
        <v>124</v>
      </c>
      <c r="AJ13" s="99">
        <f t="shared" si="13"/>
        <v>0.60580300654169539</v>
      </c>
      <c r="AK13" s="431">
        <f t="shared" si="14"/>
        <v>-80.686999999999983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0</v>
      </c>
      <c r="P14" s="73">
        <f>REMA!DK11</f>
        <v>0</v>
      </c>
      <c r="Q14" s="73">
        <f>REMA!DL11</f>
        <v>0</v>
      </c>
      <c r="R14" s="73">
        <f>REMA!DM11</f>
        <v>0</v>
      </c>
      <c r="S14" s="73">
        <f>REMA!DN11</f>
        <v>0</v>
      </c>
      <c r="T14" s="483">
        <f t="shared" si="15"/>
        <v>4</v>
      </c>
      <c r="U14" s="86">
        <f>Poblacion2024!U11</f>
        <v>46.526999999999994</v>
      </c>
      <c r="V14" s="40">
        <f t="shared" si="16"/>
        <v>8.5971586390697879E-2</v>
      </c>
      <c r="W14" s="668">
        <f t="shared" si="1"/>
        <v>0.19439999999999999</v>
      </c>
      <c r="X14" s="668">
        <f t="shared" si="2"/>
        <v>4.6655999999999996E-2</v>
      </c>
      <c r="Y14" s="113">
        <f t="shared" si="0"/>
        <v>1</v>
      </c>
      <c r="Z14" s="77">
        <f t="shared" si="3"/>
        <v>6.25E-2</v>
      </c>
      <c r="AA14" s="146">
        <f t="shared" si="4"/>
        <v>0.19439999999999999</v>
      </c>
      <c r="AB14" s="146">
        <f t="shared" si="5"/>
        <v>8.5971586390697879E-2</v>
      </c>
      <c r="AC14" s="147">
        <f t="shared" si="6"/>
        <v>0.44224067073404261</v>
      </c>
      <c r="AD14" s="489">
        <f t="shared" si="7"/>
        <v>46.526999999999994</v>
      </c>
      <c r="AE14" s="490">
        <f t="shared" si="8"/>
        <v>9.0448487999999987</v>
      </c>
      <c r="AF14" s="489">
        <f t="shared" si="9"/>
        <v>4</v>
      </c>
      <c r="AG14" s="490">
        <f t="shared" si="10"/>
        <v>0.75373739999999989</v>
      </c>
      <c r="AH14" s="490">
        <f t="shared" si="11"/>
        <v>3.7686869999999995</v>
      </c>
      <c r="AI14" s="490">
        <f t="shared" si="12"/>
        <v>4</v>
      </c>
      <c r="AJ14" s="99">
        <f t="shared" si="13"/>
        <v>1.0613776097617023</v>
      </c>
      <c r="AK14" s="431">
        <f t="shared" si="14"/>
        <v>0.23131300000000055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>
        <f>REMA!DC12</f>
        <v>0</v>
      </c>
      <c r="I15" s="114">
        <f>REMA!DD12</f>
        <v>0</v>
      </c>
      <c r="J15" s="114">
        <f>REMA!DE12</f>
        <v>6</v>
      </c>
      <c r="K15" s="114">
        <f>REMA!DF12</f>
        <v>5</v>
      </c>
      <c r="L15" s="114">
        <f>REMA!DG12</f>
        <v>0</v>
      </c>
      <c r="M15" s="114">
        <f>REMA!DH12</f>
        <v>0</v>
      </c>
      <c r="N15" s="114">
        <f>REMA!DI12</f>
        <v>0</v>
      </c>
      <c r="O15" s="114">
        <f>REMA!DJ12</f>
        <v>0</v>
      </c>
      <c r="P15" s="114">
        <f>REMA!DK12</f>
        <v>0</v>
      </c>
      <c r="Q15" s="114">
        <f>REMA!DL12</f>
        <v>0</v>
      </c>
      <c r="R15" s="114">
        <f>REMA!DM12</f>
        <v>0</v>
      </c>
      <c r="S15" s="114">
        <f>REMA!DN12</f>
        <v>0</v>
      </c>
      <c r="T15" s="621">
        <f t="shared" si="15"/>
        <v>11</v>
      </c>
      <c r="U15" s="86">
        <f>Poblacion2024!U12</f>
        <v>716.18400000000008</v>
      </c>
      <c r="V15" s="54">
        <f t="shared" si="16"/>
        <v>1.535918143940663E-2</v>
      </c>
      <c r="W15" s="669">
        <f t="shared" si="1"/>
        <v>0.19439999999999999</v>
      </c>
      <c r="X15" s="669">
        <f t="shared" si="2"/>
        <v>4.6655999999999996E-2</v>
      </c>
      <c r="Y15" s="116">
        <f t="shared" si="0"/>
        <v>0.32920056240154816</v>
      </c>
      <c r="Z15" s="77">
        <f t="shared" si="3"/>
        <v>2.057503515009676E-2</v>
      </c>
      <c r="AA15" s="545">
        <f t="shared" si="4"/>
        <v>0.19439999999999999</v>
      </c>
      <c r="AB15" s="545">
        <f t="shared" si="5"/>
        <v>1.535918143940663E-2</v>
      </c>
      <c r="AC15" s="546">
        <f t="shared" si="6"/>
        <v>7.9008134976371561E-2</v>
      </c>
      <c r="AD15" s="489">
        <f t="shared" si="7"/>
        <v>716.18400000000008</v>
      </c>
      <c r="AE15" s="490">
        <f t="shared" si="8"/>
        <v>139.22616960000002</v>
      </c>
      <c r="AF15" s="489">
        <f t="shared" si="9"/>
        <v>11</v>
      </c>
      <c r="AG15" s="490">
        <f t="shared" si="10"/>
        <v>11.602180800000001</v>
      </c>
      <c r="AH15" s="490">
        <f t="shared" si="11"/>
        <v>58.010904000000004</v>
      </c>
      <c r="AI15" s="490">
        <f t="shared" si="12"/>
        <v>11</v>
      </c>
      <c r="AJ15" s="547">
        <f t="shared" si="13"/>
        <v>0.18961952394329176</v>
      </c>
      <c r="AK15" s="431">
        <f t="shared" si="14"/>
        <v>-47.010904000000004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6"/>
      <c r="G16" s="544" t="s">
        <v>15</v>
      </c>
      <c r="H16" s="85">
        <f>SUM(H9:H15)</f>
        <v>90</v>
      </c>
      <c r="I16" s="85">
        <f t="shared" ref="I16:S16" si="17">SUM(I9:I15)</f>
        <v>166</v>
      </c>
      <c r="J16" s="85">
        <f t="shared" si="17"/>
        <v>102</v>
      </c>
      <c r="K16" s="85">
        <f t="shared" si="17"/>
        <v>186</v>
      </c>
      <c r="L16" s="85">
        <f t="shared" si="17"/>
        <v>211</v>
      </c>
      <c r="M16" s="85">
        <f t="shared" si="17"/>
        <v>0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6">
        <f>SUM(T9:T15)</f>
        <v>755</v>
      </c>
      <c r="U16" s="86">
        <f>SUM(U9:U15)</f>
        <v>15120</v>
      </c>
      <c r="V16" s="481">
        <f t="shared" si="16"/>
        <v>4.9933862433862435E-2</v>
      </c>
      <c r="W16" s="681">
        <f t="shared" si="1"/>
        <v>0.19439999999999999</v>
      </c>
      <c r="X16" s="681">
        <f t="shared" si="2"/>
        <v>4.6655999999999996E-2</v>
      </c>
      <c r="Y16" s="513">
        <f t="shared" si="0"/>
        <v>1</v>
      </c>
      <c r="Z16" s="514">
        <f t="shared" si="3"/>
        <v>6.25E-2</v>
      </c>
      <c r="AA16" s="548">
        <f t="shared" si="4"/>
        <v>0.19439999999999999</v>
      </c>
      <c r="AB16" s="548">
        <f t="shared" si="5"/>
        <v>4.9933862433862435E-2</v>
      </c>
      <c r="AC16" s="549">
        <f t="shared" si="6"/>
        <v>0.25686143227295494</v>
      </c>
      <c r="AD16" s="607">
        <f t="shared" si="7"/>
        <v>15120</v>
      </c>
      <c r="AE16" s="608">
        <f t="shared" si="8"/>
        <v>2939.328</v>
      </c>
      <c r="AF16" s="607">
        <f t="shared" si="9"/>
        <v>755</v>
      </c>
      <c r="AG16" s="490">
        <f t="shared" si="10"/>
        <v>244.94399999999999</v>
      </c>
      <c r="AH16" s="608">
        <f t="shared" si="11"/>
        <v>1224.72</v>
      </c>
      <c r="AI16" s="608">
        <f t="shared" si="12"/>
        <v>755</v>
      </c>
      <c r="AJ16" s="552">
        <f t="shared" si="13"/>
        <v>0.6164674374550918</v>
      </c>
      <c r="AK16" s="431">
        <f t="shared" si="14"/>
        <v>-469.72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F1" zoomScale="85" zoomScaleNormal="85" workbookViewId="0">
      <selection activeCell="X24" sqref="X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4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570312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7" t="str">
        <f>+NOMBRE!B7</f>
        <v>ENERO - MAYO 2024</v>
      </c>
      <c r="Y2" s="847"/>
      <c r="Z2" s="847"/>
      <c r="AA2" s="847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48" t="s">
        <v>484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49"/>
      <c r="W4" s="849"/>
      <c r="X4" s="849"/>
      <c r="Y4" s="849"/>
      <c r="Z4" s="849"/>
      <c r="AA4" s="850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51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3"/>
      <c r="AB5" s="5"/>
      <c r="AC5" s="5"/>
      <c r="AE5" s="6"/>
      <c r="AG5" s="5"/>
      <c r="AH5" s="88" t="s">
        <v>46</v>
      </c>
      <c r="AI5" s="89">
        <f>meta3!AB2</f>
        <v>5</v>
      </c>
      <c r="AJ5" s="6"/>
      <c r="AL5" s="5"/>
    </row>
    <row r="6" spans="1:39" ht="51.75" customHeight="1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4"/>
      <c r="V6" s="8" t="s">
        <v>5</v>
      </c>
      <c r="W6" s="854" t="s">
        <v>6</v>
      </c>
      <c r="X6" s="856">
        <f>+NOMBRE!$B$9</f>
        <v>2024</v>
      </c>
      <c r="Y6" s="857"/>
      <c r="Z6" s="858" t="s">
        <v>7</v>
      </c>
      <c r="AA6" s="859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5.25" customHeight="1" thickBot="1" x14ac:dyDescent="0.3">
      <c r="G7" s="609" t="s">
        <v>438</v>
      </c>
      <c r="H7" s="860" t="s">
        <v>105</v>
      </c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2"/>
      <c r="V7" s="11" t="s">
        <v>106</v>
      </c>
      <c r="W7" s="855"/>
      <c r="X7" s="12" t="s">
        <v>11</v>
      </c>
      <c r="Y7" s="496" t="s">
        <v>43</v>
      </c>
      <c r="Z7" s="14" t="s">
        <v>13</v>
      </c>
      <c r="AA7" s="14" t="s">
        <v>518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18" thickBot="1" x14ac:dyDescent="0.3">
      <c r="G8" s="440"/>
      <c r="H8" s="441"/>
      <c r="I8" s="453" t="s">
        <v>189</v>
      </c>
      <c r="J8" s="453" t="s">
        <v>190</v>
      </c>
      <c r="K8" s="453" t="s">
        <v>191</v>
      </c>
      <c r="L8" s="453" t="s">
        <v>192</v>
      </c>
      <c r="M8" s="453" t="s">
        <v>193</v>
      </c>
      <c r="N8" s="453" t="s">
        <v>194</v>
      </c>
      <c r="O8" s="453" t="s">
        <v>195</v>
      </c>
      <c r="P8" s="453" t="s">
        <v>196</v>
      </c>
      <c r="Q8" s="453" t="s">
        <v>428</v>
      </c>
      <c r="R8" s="453" t="s">
        <v>198</v>
      </c>
      <c r="S8" s="453" t="s">
        <v>199</v>
      </c>
      <c r="T8" s="453" t="s">
        <v>200</v>
      </c>
      <c r="U8" s="506" t="s">
        <v>201</v>
      </c>
      <c r="V8" s="442"/>
      <c r="W8" s="443"/>
      <c r="X8" s="659">
        <f>indicadores!E28</f>
        <v>0.46839999999999998</v>
      </c>
      <c r="Y8" s="656">
        <f>indicadores!$D$54</f>
        <v>0.24</v>
      </c>
      <c r="Z8" s="444"/>
      <c r="AA8" s="444">
        <v>5.49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439</v>
      </c>
      <c r="H9" s="68" t="e">
        <f>+REMC!#REF!</f>
        <v>#REF!</v>
      </c>
      <c r="I9" s="68">
        <f>REMC!BI6</f>
        <v>173</v>
      </c>
      <c r="J9" s="68">
        <f>REMC!BJ6</f>
        <v>173</v>
      </c>
      <c r="K9" s="68">
        <f>REMC!BK6</f>
        <v>168</v>
      </c>
      <c r="L9" s="68">
        <f>REMC!BL6</f>
        <v>178</v>
      </c>
      <c r="M9" s="68">
        <f>REMC!BM6</f>
        <v>138</v>
      </c>
      <c r="N9" s="68">
        <f>REMC!BN6</f>
        <v>0</v>
      </c>
      <c r="O9" s="68">
        <f>REMC!BO6</f>
        <v>0</v>
      </c>
      <c r="P9" s="68">
        <f>REMC!BP6</f>
        <v>0</v>
      </c>
      <c r="Q9" s="68">
        <f>REMC!BQ6</f>
        <v>0</v>
      </c>
      <c r="R9" s="68">
        <f>REMC!BR6</f>
        <v>0</v>
      </c>
      <c r="S9" s="68">
        <f>REMC!BS6</f>
        <v>0</v>
      </c>
      <c r="T9" s="68">
        <f>REMC!BT6</f>
        <v>0</v>
      </c>
      <c r="U9" s="507">
        <f>SUM(I9:T9)</f>
        <v>830</v>
      </c>
      <c r="V9" s="504">
        <f>Poblacion2024!W6</f>
        <v>5153.1270000000004</v>
      </c>
      <c r="W9" s="509">
        <f>IF(V9=0,0,+U9/V9)</f>
        <v>0.16106725101089103</v>
      </c>
      <c r="X9" s="660">
        <f>$X$8</f>
        <v>0.46839999999999998</v>
      </c>
      <c r="Y9" s="660">
        <f>+X9*$Y$8</f>
        <v>0.11241599999999999</v>
      </c>
      <c r="Z9" s="768">
        <f t="shared" ref="Z9:Z16" si="0">IF(+W9/Y9&gt;1,1,+W9/Y9)</f>
        <v>1</v>
      </c>
      <c r="AA9" s="71">
        <f>+Z9*$AA$8/100</f>
        <v>5.4900000000000004E-2</v>
      </c>
      <c r="AB9" s="747">
        <f>X9</f>
        <v>0.46839999999999998</v>
      </c>
      <c r="AC9" s="146">
        <f>(AG9/AE9)</f>
        <v>0.16106725101089103</v>
      </c>
      <c r="AD9" s="147">
        <f>AC9/AB9</f>
        <v>0.34386688943401161</v>
      </c>
      <c r="AE9" s="97">
        <f>V9</f>
        <v>5153.1270000000004</v>
      </c>
      <c r="AF9" s="98">
        <f>AE9*AB9</f>
        <v>2413.7246868000002</v>
      </c>
      <c r="AG9" s="97">
        <f>U9</f>
        <v>830</v>
      </c>
      <c r="AH9" s="98">
        <f>AF9/$AI$4</f>
        <v>201.14372390000003</v>
      </c>
      <c r="AI9" s="98">
        <f>AH9*$AI$5</f>
        <v>1005.7186195000002</v>
      </c>
      <c r="AJ9" s="98">
        <f>U9</f>
        <v>830</v>
      </c>
      <c r="AK9" s="99">
        <f>AJ9/AI9</f>
        <v>0.82528053464162787</v>
      </c>
      <c r="AL9" s="431">
        <f>(AI9-AJ9)*-1</f>
        <v>-175.71861950000016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440</v>
      </c>
      <c r="H10" s="73" t="e">
        <f>+REMC!#REF!</f>
        <v>#REF!</v>
      </c>
      <c r="I10" s="73">
        <f>REMC!BI7</f>
        <v>132</v>
      </c>
      <c r="J10" s="73">
        <f>REMC!BJ7</f>
        <v>79</v>
      </c>
      <c r="K10" s="73">
        <f>REMC!BK7</f>
        <v>124</v>
      </c>
      <c r="L10" s="73">
        <f>REMC!BL7</f>
        <v>129</v>
      </c>
      <c r="M10" s="73">
        <f>REMC!BM7</f>
        <v>131</v>
      </c>
      <c r="N10" s="73">
        <f>REMC!BN7</f>
        <v>0</v>
      </c>
      <c r="O10" s="73">
        <f>REMC!BO7</f>
        <v>0</v>
      </c>
      <c r="P10" s="73">
        <f>REMC!BP7</f>
        <v>0</v>
      </c>
      <c r="Q10" s="73">
        <f>REMC!BQ7</f>
        <v>0</v>
      </c>
      <c r="R10" s="73">
        <f>REMC!BR7</f>
        <v>0</v>
      </c>
      <c r="S10" s="73">
        <f>REMC!BS7</f>
        <v>0</v>
      </c>
      <c r="T10" s="73">
        <f>REMC!BT7</f>
        <v>0</v>
      </c>
      <c r="U10" s="508">
        <f t="shared" ref="U10:U15" si="1">SUM(I10:T10)</f>
        <v>595</v>
      </c>
      <c r="V10" s="505">
        <f>Poblacion2024!W7</f>
        <v>4340</v>
      </c>
      <c r="W10" s="510">
        <f t="shared" ref="W10:W16" si="2">IF(V10=0,0,+U10/V10)</f>
        <v>0.13709677419354838</v>
      </c>
      <c r="X10" s="661">
        <f>$X$8</f>
        <v>0.46839999999999998</v>
      </c>
      <c r="Y10" s="661">
        <f t="shared" ref="Y10:Y16" si="3">+X10*$Y$8</f>
        <v>0.11241599999999999</v>
      </c>
      <c r="Z10" s="769">
        <f t="shared" si="0"/>
        <v>1</v>
      </c>
      <c r="AA10" s="77">
        <f t="shared" ref="AA10:AA16" si="4">+Z10*$AA$8/100</f>
        <v>5.4900000000000004E-2</v>
      </c>
      <c r="AB10" s="747">
        <f t="shared" ref="AB10:AB16" si="5">X10</f>
        <v>0.46839999999999998</v>
      </c>
      <c r="AC10" s="146">
        <f t="shared" ref="AC10:AC16" si="6">(AG10/AE10)</f>
        <v>0.13709677419354838</v>
      </c>
      <c r="AD10" s="147">
        <f t="shared" ref="AD10:AD16" si="7">AC10/AB10</f>
        <v>0.29269166138673863</v>
      </c>
      <c r="AE10" s="97">
        <f t="shared" ref="AE10:AE16" si="8">V10</f>
        <v>4340</v>
      </c>
      <c r="AF10" s="98">
        <f t="shared" ref="AF10:AF16" si="9">AE10*AB10</f>
        <v>2032.856</v>
      </c>
      <c r="AG10" s="97">
        <f t="shared" ref="AG10:AG16" si="10">U10</f>
        <v>595</v>
      </c>
      <c r="AH10" s="98">
        <f t="shared" ref="AH10:AH16" si="11">AF10/$AI$4</f>
        <v>169.40466666666666</v>
      </c>
      <c r="AI10" s="98">
        <f t="shared" ref="AI10:AI16" si="12">AH10*$AI$5</f>
        <v>847.02333333333331</v>
      </c>
      <c r="AJ10" s="98">
        <f t="shared" ref="AJ10:AJ16" si="13">U10</f>
        <v>595</v>
      </c>
      <c r="AK10" s="99">
        <f t="shared" ref="AK10:AK16" si="14">AJ10/AI10</f>
        <v>0.70245998732817283</v>
      </c>
      <c r="AL10" s="431">
        <f t="shared" ref="AL10:AL16" si="15">(AI10-AJ10)*-1</f>
        <v>-252.02333333333331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441</v>
      </c>
      <c r="H11" s="73" t="e">
        <f>+REMC!#REF!</f>
        <v>#REF!</v>
      </c>
      <c r="I11" s="73">
        <f>REMC!BI8</f>
        <v>115</v>
      </c>
      <c r="J11" s="73">
        <f>REMC!BJ8</f>
        <v>75</v>
      </c>
      <c r="K11" s="73">
        <f>REMC!BK8</f>
        <v>114</v>
      </c>
      <c r="L11" s="73">
        <f>REMC!BL8</f>
        <v>95</v>
      </c>
      <c r="M11" s="73">
        <f>REMC!BM8</f>
        <v>144</v>
      </c>
      <c r="N11" s="73">
        <f>REMC!BN8</f>
        <v>0</v>
      </c>
      <c r="O11" s="73">
        <f>REMC!BO8</f>
        <v>0</v>
      </c>
      <c r="P11" s="73">
        <f>REMC!BP8</f>
        <v>0</v>
      </c>
      <c r="Q11" s="73">
        <f>REMC!BQ8</f>
        <v>0</v>
      </c>
      <c r="R11" s="73">
        <f>REMC!BR8</f>
        <v>0</v>
      </c>
      <c r="S11" s="73">
        <f>REMC!BS8</f>
        <v>0</v>
      </c>
      <c r="T11" s="73">
        <f>REMC!BT8</f>
        <v>0</v>
      </c>
      <c r="U11" s="508">
        <f t="shared" si="1"/>
        <v>543</v>
      </c>
      <c r="V11" s="505">
        <f>Poblacion2024!W8</f>
        <v>4397</v>
      </c>
      <c r="W11" s="510">
        <f t="shared" si="2"/>
        <v>0.12349329088014556</v>
      </c>
      <c r="X11" s="661">
        <f t="shared" ref="X11:X16" si="16">$X$8</f>
        <v>0.46839999999999998</v>
      </c>
      <c r="Y11" s="661">
        <f t="shared" si="3"/>
        <v>0.11241599999999999</v>
      </c>
      <c r="Z11" s="769">
        <f t="shared" si="0"/>
        <v>1</v>
      </c>
      <c r="AA11" s="77">
        <f t="shared" si="4"/>
        <v>5.4900000000000004E-2</v>
      </c>
      <c r="AB11" s="747">
        <f t="shared" si="5"/>
        <v>0.46839999999999998</v>
      </c>
      <c r="AC11" s="146">
        <f t="shared" si="6"/>
        <v>0.12349329088014556</v>
      </c>
      <c r="AD11" s="147">
        <f t="shared" si="7"/>
        <v>0.26364921195590429</v>
      </c>
      <c r="AE11" s="97">
        <f t="shared" si="8"/>
        <v>4397</v>
      </c>
      <c r="AF11" s="98">
        <f t="shared" si="9"/>
        <v>2059.5547999999999</v>
      </c>
      <c r="AG11" s="97">
        <f t="shared" si="10"/>
        <v>543</v>
      </c>
      <c r="AH11" s="98">
        <f t="shared" si="11"/>
        <v>171.62956666666665</v>
      </c>
      <c r="AI11" s="98">
        <f t="shared" si="12"/>
        <v>858.14783333333321</v>
      </c>
      <c r="AJ11" s="98">
        <f t="shared" si="13"/>
        <v>543</v>
      </c>
      <c r="AK11" s="99">
        <f t="shared" si="14"/>
        <v>0.63275810869417026</v>
      </c>
      <c r="AL11" s="431">
        <f t="shared" si="15"/>
        <v>-315.14783333333321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442</v>
      </c>
      <c r="H12" s="73" t="e">
        <f>+REMC!#REF!</f>
        <v>#REF!</v>
      </c>
      <c r="I12" s="73">
        <f>REMC!BI9</f>
        <v>533</v>
      </c>
      <c r="J12" s="73">
        <f>REMC!BJ9</f>
        <v>0</v>
      </c>
      <c r="K12" s="73">
        <f>REMC!BK9</f>
        <v>269</v>
      </c>
      <c r="L12" s="73">
        <f>REMC!BL9</f>
        <v>244</v>
      </c>
      <c r="M12" s="73">
        <f>REMC!BM9</f>
        <v>291</v>
      </c>
      <c r="N12" s="73">
        <f>REMC!BN9</f>
        <v>0</v>
      </c>
      <c r="O12" s="73">
        <f>REMC!BO9</f>
        <v>0</v>
      </c>
      <c r="P12" s="73">
        <f>REMC!BP9</f>
        <v>0</v>
      </c>
      <c r="Q12" s="73">
        <f>REMC!BQ9</f>
        <v>0</v>
      </c>
      <c r="R12" s="73">
        <f>REMC!BR9</f>
        <v>0</v>
      </c>
      <c r="S12" s="73">
        <f>REMC!BS9</f>
        <v>0</v>
      </c>
      <c r="T12" s="73">
        <f>REMC!BT9</f>
        <v>0</v>
      </c>
      <c r="U12" s="508">
        <f t="shared" si="1"/>
        <v>1337</v>
      </c>
      <c r="V12" s="505">
        <f>Poblacion2024!W9</f>
        <v>4281.1831999999995</v>
      </c>
      <c r="W12" s="510">
        <f t="shared" si="2"/>
        <v>0.31229684354549464</v>
      </c>
      <c r="X12" s="661">
        <f t="shared" si="16"/>
        <v>0.46839999999999998</v>
      </c>
      <c r="Y12" s="661">
        <f t="shared" si="3"/>
        <v>0.11241599999999999</v>
      </c>
      <c r="Z12" s="769">
        <f t="shared" si="0"/>
        <v>1</v>
      </c>
      <c r="AA12" s="77">
        <f t="shared" si="4"/>
        <v>5.4900000000000004E-2</v>
      </c>
      <c r="AB12" s="747">
        <f t="shared" si="5"/>
        <v>0.46839999999999998</v>
      </c>
      <c r="AC12" s="146">
        <f t="shared" si="6"/>
        <v>0.31229684354549464</v>
      </c>
      <c r="AD12" s="147">
        <f t="shared" si="7"/>
        <v>0.66673109211249926</v>
      </c>
      <c r="AE12" s="97">
        <f t="shared" si="8"/>
        <v>4281.1831999999995</v>
      </c>
      <c r="AF12" s="98">
        <f t="shared" si="9"/>
        <v>2005.3062108799998</v>
      </c>
      <c r="AG12" s="97">
        <f t="shared" si="10"/>
        <v>1337</v>
      </c>
      <c r="AH12" s="98">
        <f t="shared" si="11"/>
        <v>167.10885090666665</v>
      </c>
      <c r="AI12" s="98">
        <f t="shared" si="12"/>
        <v>835.54425453333329</v>
      </c>
      <c r="AJ12" s="98">
        <f t="shared" si="13"/>
        <v>1337</v>
      </c>
      <c r="AK12" s="99">
        <f t="shared" si="14"/>
        <v>1.6001546210699982</v>
      </c>
      <c r="AL12" s="431">
        <f t="shared" si="15"/>
        <v>501.45574546666671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443</v>
      </c>
      <c r="H13" s="73" t="e">
        <f>+REMC!#REF!</f>
        <v>#REF!</v>
      </c>
      <c r="I13" s="73">
        <f>REMC!BI10</f>
        <v>97</v>
      </c>
      <c r="J13" s="73">
        <f>REMC!BJ10</f>
        <v>105</v>
      </c>
      <c r="K13" s="73">
        <f>REMC!BK10</f>
        <v>59</v>
      </c>
      <c r="L13" s="73">
        <f>REMC!BL10</f>
        <v>95</v>
      </c>
      <c r="M13" s="73">
        <f>REMC!BM10</f>
        <v>129</v>
      </c>
      <c r="N13" s="73">
        <f>REMC!BN10</f>
        <v>0</v>
      </c>
      <c r="O13" s="73">
        <f>REMC!BO10</f>
        <v>0</v>
      </c>
      <c r="P13" s="73">
        <f>REMC!BP10</f>
        <v>0</v>
      </c>
      <c r="Q13" s="73">
        <f>REMC!BQ10</f>
        <v>0</v>
      </c>
      <c r="R13" s="73">
        <f>REMC!BR10</f>
        <v>0</v>
      </c>
      <c r="S13" s="73">
        <f>REMC!BS10</f>
        <v>0</v>
      </c>
      <c r="T13" s="73">
        <f>REMC!BT10</f>
        <v>0</v>
      </c>
      <c r="U13" s="508">
        <f t="shared" si="1"/>
        <v>485</v>
      </c>
      <c r="V13" s="505">
        <f>Poblacion2024!W10</f>
        <v>4335</v>
      </c>
      <c r="W13" s="510">
        <f t="shared" si="2"/>
        <v>0.1118800461361015</v>
      </c>
      <c r="X13" s="661">
        <f t="shared" si="16"/>
        <v>0.46839999999999998</v>
      </c>
      <c r="Y13" s="661">
        <f t="shared" si="3"/>
        <v>0.11241599999999999</v>
      </c>
      <c r="Z13" s="769">
        <f t="shared" si="0"/>
        <v>0.99523240585060413</v>
      </c>
      <c r="AA13" s="77">
        <f t="shared" si="4"/>
        <v>5.4638259081198168E-2</v>
      </c>
      <c r="AB13" s="747">
        <f t="shared" si="5"/>
        <v>0.46839999999999998</v>
      </c>
      <c r="AC13" s="146">
        <f t="shared" si="6"/>
        <v>0.1118800461361015</v>
      </c>
      <c r="AD13" s="147">
        <f t="shared" si="7"/>
        <v>0.23885577740414499</v>
      </c>
      <c r="AE13" s="97">
        <f t="shared" si="8"/>
        <v>4335</v>
      </c>
      <c r="AF13" s="98">
        <f t="shared" si="9"/>
        <v>2030.5139999999999</v>
      </c>
      <c r="AG13" s="97">
        <f t="shared" si="10"/>
        <v>485</v>
      </c>
      <c r="AH13" s="98">
        <f t="shared" si="11"/>
        <v>169.20949999999999</v>
      </c>
      <c r="AI13" s="98">
        <f t="shared" si="12"/>
        <v>846.0474999999999</v>
      </c>
      <c r="AJ13" s="98">
        <f t="shared" si="13"/>
        <v>485</v>
      </c>
      <c r="AK13" s="99">
        <f t="shared" si="14"/>
        <v>0.57325386576994797</v>
      </c>
      <c r="AL13" s="431">
        <f t="shared" si="15"/>
        <v>-361.0474999999999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444</v>
      </c>
      <c r="H14" s="73" t="e">
        <f>+REMC!#REF!</f>
        <v>#REF!</v>
      </c>
      <c r="I14" s="73">
        <f>REMC!BI11</f>
        <v>10</v>
      </c>
      <c r="J14" s="73">
        <f>REMC!BJ11</f>
        <v>10</v>
      </c>
      <c r="K14" s="73">
        <f>REMC!BK11</f>
        <v>8</v>
      </c>
      <c r="L14" s="73">
        <f>REMC!BL11</f>
        <v>6</v>
      </c>
      <c r="M14" s="73">
        <f>REMC!BM11</f>
        <v>3</v>
      </c>
      <c r="N14" s="73">
        <f>REMC!BN11</f>
        <v>0</v>
      </c>
      <c r="O14" s="73">
        <f>REMC!BO11</f>
        <v>0</v>
      </c>
      <c r="P14" s="73">
        <f>REMC!BP11</f>
        <v>0</v>
      </c>
      <c r="Q14" s="73">
        <f>REMC!BQ11</f>
        <v>0</v>
      </c>
      <c r="R14" s="73">
        <f>REMC!BR11</f>
        <v>0</v>
      </c>
      <c r="S14" s="73">
        <f>REMC!BS11</f>
        <v>0</v>
      </c>
      <c r="T14" s="73">
        <f>REMC!BT11</f>
        <v>0</v>
      </c>
      <c r="U14" s="508">
        <f t="shared" si="1"/>
        <v>37</v>
      </c>
      <c r="V14" s="505">
        <f>Poblacion2024!W11</f>
        <v>67.87299999999999</v>
      </c>
      <c r="W14" s="510">
        <f t="shared" si="2"/>
        <v>0.5451357682730984</v>
      </c>
      <c r="X14" s="661">
        <f t="shared" si="16"/>
        <v>0.46839999999999998</v>
      </c>
      <c r="Y14" s="661">
        <f t="shared" si="3"/>
        <v>0.11241599999999999</v>
      </c>
      <c r="Z14" s="769">
        <f t="shared" si="0"/>
        <v>1</v>
      </c>
      <c r="AA14" s="77">
        <f t="shared" si="4"/>
        <v>5.4900000000000004E-2</v>
      </c>
      <c r="AB14" s="747">
        <f t="shared" si="5"/>
        <v>0.46839999999999998</v>
      </c>
      <c r="AC14" s="146">
        <f t="shared" si="6"/>
        <v>0.5451357682730984</v>
      </c>
      <c r="AD14" s="147">
        <f t="shared" si="7"/>
        <v>1.1638252952030281</v>
      </c>
      <c r="AE14" s="97">
        <f t="shared" si="8"/>
        <v>67.87299999999999</v>
      </c>
      <c r="AF14" s="98">
        <f t="shared" si="9"/>
        <v>31.791713199999993</v>
      </c>
      <c r="AG14" s="97">
        <f t="shared" si="10"/>
        <v>37</v>
      </c>
      <c r="AH14" s="98">
        <f t="shared" si="11"/>
        <v>2.6493094333333329</v>
      </c>
      <c r="AI14" s="98">
        <f t="shared" si="12"/>
        <v>13.246547166666664</v>
      </c>
      <c r="AJ14" s="98">
        <f t="shared" si="13"/>
        <v>37</v>
      </c>
      <c r="AK14" s="99">
        <f t="shared" si="14"/>
        <v>2.7931807084872675</v>
      </c>
      <c r="AL14" s="431">
        <f t="shared" si="15"/>
        <v>23.753452833333334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 t="e">
        <f>+REMC!#REF!</f>
        <v>#REF!</v>
      </c>
      <c r="I15" s="114">
        <f>REMC!BI12</f>
        <v>42</v>
      </c>
      <c r="J15" s="114">
        <f>REMC!BJ12</f>
        <v>97</v>
      </c>
      <c r="K15" s="114">
        <f>REMC!BK12</f>
        <v>32</v>
      </c>
      <c r="L15" s="114">
        <f>REMC!BL12</f>
        <v>25</v>
      </c>
      <c r="M15" s="114">
        <f>REMC!BM12</f>
        <v>45</v>
      </c>
      <c r="N15" s="114">
        <f>REMC!BN12</f>
        <v>0</v>
      </c>
      <c r="O15" s="114">
        <f>REMC!BO12</f>
        <v>0</v>
      </c>
      <c r="P15" s="114">
        <f>REMC!BP12</f>
        <v>0</v>
      </c>
      <c r="Q15" s="114">
        <f>REMC!BQ12</f>
        <v>0</v>
      </c>
      <c r="R15" s="114">
        <f>REMC!BR12</f>
        <v>0</v>
      </c>
      <c r="S15" s="114">
        <f>REMC!BS12</f>
        <v>0</v>
      </c>
      <c r="T15" s="114">
        <f>REMC!BT12</f>
        <v>0</v>
      </c>
      <c r="U15" s="508">
        <f t="shared" si="1"/>
        <v>241</v>
      </c>
      <c r="V15" s="662">
        <f>Poblacion2024!W12</f>
        <v>1129.8168000000001</v>
      </c>
      <c r="W15" s="510">
        <f t="shared" si="2"/>
        <v>0.2133089187556779</v>
      </c>
      <c r="X15" s="663">
        <f t="shared" si="16"/>
        <v>0.46839999999999998</v>
      </c>
      <c r="Y15" s="663">
        <f t="shared" si="3"/>
        <v>0.11241599999999999</v>
      </c>
      <c r="Z15" s="770">
        <f t="shared" si="0"/>
        <v>1</v>
      </c>
      <c r="AA15" s="77">
        <f t="shared" si="4"/>
        <v>5.4900000000000004E-2</v>
      </c>
      <c r="AB15" s="772">
        <f t="shared" si="5"/>
        <v>0.46839999999999998</v>
      </c>
      <c r="AC15" s="545">
        <f t="shared" si="6"/>
        <v>0.2133089187556779</v>
      </c>
      <c r="AD15" s="546">
        <f t="shared" si="7"/>
        <v>0.45539905797540114</v>
      </c>
      <c r="AE15" s="97">
        <f t="shared" si="8"/>
        <v>1129.8168000000001</v>
      </c>
      <c r="AF15" s="98">
        <f t="shared" si="9"/>
        <v>529.20618911999998</v>
      </c>
      <c r="AG15" s="97">
        <f t="shared" si="10"/>
        <v>241</v>
      </c>
      <c r="AH15" s="98">
        <f t="shared" si="11"/>
        <v>44.10051576</v>
      </c>
      <c r="AI15" s="98">
        <f t="shared" si="12"/>
        <v>220.50257880000001</v>
      </c>
      <c r="AJ15" s="98">
        <f t="shared" si="13"/>
        <v>241</v>
      </c>
      <c r="AK15" s="547">
        <f t="shared" si="14"/>
        <v>1.0929577391409628</v>
      </c>
      <c r="AL15" s="585">
        <f t="shared" si="15"/>
        <v>20.497421199999991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4" t="s">
        <v>15</v>
      </c>
      <c r="H16" s="85" t="e">
        <f>+REMC!#REF!</f>
        <v>#REF!</v>
      </c>
      <c r="I16" s="85">
        <f>SUM(I9:I15)</f>
        <v>1102</v>
      </c>
      <c r="J16" s="85">
        <f t="shared" ref="J16:T16" si="17">SUM(J9:J15)</f>
        <v>539</v>
      </c>
      <c r="K16" s="85">
        <f t="shared" si="17"/>
        <v>774</v>
      </c>
      <c r="L16" s="85">
        <f t="shared" si="17"/>
        <v>772</v>
      </c>
      <c r="M16" s="85">
        <f t="shared" si="17"/>
        <v>881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563">
        <f>SUM(U9:U15)</f>
        <v>4068</v>
      </c>
      <c r="V16" s="664">
        <f>SUM(V9:V15)</f>
        <v>23704</v>
      </c>
      <c r="W16" s="32">
        <f t="shared" si="2"/>
        <v>0.17161660479244009</v>
      </c>
      <c r="X16" s="665">
        <f t="shared" si="16"/>
        <v>0.46839999999999998</v>
      </c>
      <c r="Y16" s="665">
        <f t="shared" si="3"/>
        <v>0.11241599999999999</v>
      </c>
      <c r="Z16" s="771">
        <f t="shared" si="0"/>
        <v>1</v>
      </c>
      <c r="AA16" s="514">
        <f t="shared" si="4"/>
        <v>5.4900000000000004E-2</v>
      </c>
      <c r="AB16" s="773">
        <f t="shared" si="5"/>
        <v>0.46839999999999998</v>
      </c>
      <c r="AC16" s="548">
        <f t="shared" si="6"/>
        <v>0.17161660479244009</v>
      </c>
      <c r="AD16" s="549">
        <f t="shared" si="7"/>
        <v>0.3663889940060634</v>
      </c>
      <c r="AE16" s="550">
        <f t="shared" si="8"/>
        <v>23704</v>
      </c>
      <c r="AF16" s="551">
        <f t="shared" si="9"/>
        <v>11102.953599999999</v>
      </c>
      <c r="AG16" s="550">
        <f t="shared" si="10"/>
        <v>4068</v>
      </c>
      <c r="AH16" s="551">
        <f t="shared" si="11"/>
        <v>925.2461333333332</v>
      </c>
      <c r="AI16" s="551">
        <f t="shared" si="12"/>
        <v>4626.2306666666664</v>
      </c>
      <c r="AJ16" s="551">
        <f t="shared" si="13"/>
        <v>4068</v>
      </c>
      <c r="AK16" s="552">
        <f t="shared" si="14"/>
        <v>0.87933358561455222</v>
      </c>
      <c r="AL16" s="591">
        <f t="shared" si="15"/>
        <v>-558.23066666666637</v>
      </c>
    </row>
    <row r="17" spans="3:29" x14ac:dyDescent="0.25">
      <c r="C17" s="64"/>
      <c r="D17" s="65"/>
      <c r="X17" s="57"/>
      <c r="Y17" s="154"/>
      <c r="AB17" s="122"/>
      <c r="AC17" s="122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00B050"/>
  </sheetPr>
  <dimension ref="A1:BU18"/>
  <sheetViews>
    <sheetView zoomScale="60" zoomScaleNormal="60" workbookViewId="0">
      <selection activeCell="AA24" sqref="AA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8" width="23" style="162" customWidth="1"/>
    <col min="9" max="10" width="7" style="162" bestFit="1" customWidth="1"/>
    <col min="11" max="11" width="8" style="162" bestFit="1" customWidth="1"/>
    <col min="12" max="12" width="6.5703125" style="162" bestFit="1" customWidth="1"/>
    <col min="13" max="13" width="7.28515625" style="162" bestFit="1" customWidth="1"/>
    <col min="14" max="14" width="6.85546875" style="162" bestFit="1" customWidth="1"/>
    <col min="15" max="15" width="5.85546875" style="162" bestFit="1" customWidth="1"/>
    <col min="16" max="16" width="7.28515625" style="162" bestFit="1" customWidth="1"/>
    <col min="17" max="17" width="8.28515625" style="162" bestFit="1" customWidth="1"/>
    <col min="18" max="18" width="6.85546875" style="162" bestFit="1" customWidth="1"/>
    <col min="19" max="19" width="7" style="162" bestFit="1" customWidth="1"/>
    <col min="20" max="20" width="6.28515625" style="162" bestFit="1" customWidth="1"/>
    <col min="21" max="21" width="8.7109375" style="162" bestFit="1" customWidth="1"/>
    <col min="22" max="22" width="29" style="162" customWidth="1"/>
    <col min="23" max="23" width="14.85546875" style="163" customWidth="1"/>
    <col min="24" max="24" width="12.5703125" style="162" customWidth="1"/>
    <col min="25" max="25" width="14.140625" style="164" customWidth="1"/>
    <col min="26" max="26" width="16.42578125" style="162" customWidth="1"/>
    <col min="27" max="27" width="18.7109375" style="164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5" bestFit="1" customWidth="1"/>
    <col min="42" max="42" width="9.5703125" style="165" bestFit="1" customWidth="1"/>
    <col min="43" max="43" width="8.7109375" style="165" bestFit="1" customWidth="1"/>
    <col min="44" max="44" width="2.5703125" bestFit="1" customWidth="1"/>
    <col min="45" max="45" width="0" style="165" hidden="1" customWidth="1"/>
    <col min="46" max="46" width="7.7109375" style="165" hidden="1" customWidth="1"/>
    <col min="47" max="47" width="10.5703125" hidden="1" customWidth="1"/>
    <col min="48" max="48" width="13.42578125" hidden="1" customWidth="1"/>
    <col min="49" max="50" width="13" style="166" hidden="1" customWidth="1"/>
    <col min="51" max="51" width="14.28515625" style="105" hidden="1" customWidth="1"/>
    <col min="52" max="52" width="0" style="165" hidden="1" customWidth="1"/>
    <col min="53" max="54" width="0" style="163" hidden="1" customWidth="1"/>
    <col min="55" max="55" width="0" style="162" hidden="1" customWidth="1"/>
    <col min="56" max="56" width="0" style="163" hidden="1" customWidth="1"/>
    <col min="57" max="62" width="0" style="162" hidden="1" customWidth="1"/>
    <col min="63" max="68" width="15.42578125" style="162" hidden="1" customWidth="1"/>
    <col min="69" max="16384" width="11.42578125" style="162"/>
  </cols>
  <sheetData>
    <row r="1" spans="1:73" s="161" customFormat="1" ht="21" customHeight="1" x14ac:dyDescent="0.45">
      <c r="A1" s="2"/>
      <c r="B1" s="2"/>
      <c r="C1" s="2"/>
      <c r="D1" s="2"/>
      <c r="E1" s="3"/>
      <c r="F1" s="101"/>
      <c r="G1" s="906" t="s">
        <v>0</v>
      </c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56"/>
      <c r="AC1" s="56"/>
      <c r="AD1" s="56"/>
      <c r="AE1" s="56"/>
      <c r="AF1" s="56"/>
      <c r="AG1" s="56"/>
      <c r="AH1" s="56"/>
      <c r="AI1" s="136"/>
      <c r="AJ1" s="56"/>
      <c r="AK1" s="56"/>
      <c r="AL1" s="136"/>
      <c r="AM1" s="2"/>
      <c r="AN1" s="56"/>
      <c r="AO1" s="156"/>
      <c r="AP1" s="156"/>
      <c r="AQ1" s="156"/>
      <c r="AR1" s="157"/>
      <c r="AS1" s="156"/>
      <c r="AT1" s="156"/>
      <c r="AU1" s="157"/>
      <c r="AV1" s="157"/>
      <c r="AW1" s="158"/>
      <c r="AX1" s="158"/>
      <c r="AY1" s="159"/>
      <c r="AZ1" s="156"/>
      <c r="BA1" s="160"/>
      <c r="BB1" s="160"/>
      <c r="BD1" s="160"/>
    </row>
    <row r="2" spans="1:73" s="161" customFormat="1" ht="28.5" x14ac:dyDescent="0.45">
      <c r="A2" s="2"/>
      <c r="B2" s="2"/>
      <c r="C2" s="2"/>
      <c r="D2" s="2"/>
      <c r="E2" s="3"/>
      <c r="F2" s="101"/>
      <c r="G2" s="907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7" t="str">
        <f>+NOMBRE!B7</f>
        <v>ENERO - MAYO 2024</v>
      </c>
      <c r="Y2" s="847"/>
      <c r="Z2" s="847"/>
      <c r="AA2" s="847"/>
      <c r="AB2" s="56"/>
      <c r="AC2" s="56"/>
      <c r="AD2" s="56"/>
      <c r="AE2" s="56"/>
      <c r="AF2" s="56"/>
      <c r="AG2" s="56"/>
      <c r="AH2" s="56"/>
      <c r="AI2" s="136"/>
      <c r="AJ2" s="56"/>
      <c r="AK2" s="56"/>
      <c r="AL2" s="136"/>
      <c r="AM2" s="2"/>
      <c r="AN2" s="56"/>
      <c r="AO2" s="156"/>
      <c r="AP2" s="156"/>
      <c r="AQ2" s="156"/>
      <c r="AR2" s="157"/>
      <c r="AS2" s="156"/>
      <c r="AT2" s="156"/>
      <c r="AU2" s="157"/>
      <c r="AV2" s="157"/>
      <c r="AW2" s="158"/>
      <c r="AX2" s="158"/>
      <c r="AY2" s="159"/>
      <c r="AZ2" s="156"/>
      <c r="BA2" s="160"/>
      <c r="BB2" s="160"/>
      <c r="BD2" s="160"/>
    </row>
    <row r="3" spans="1:73" ht="3" customHeight="1" thickBot="1" x14ac:dyDescent="0.3"/>
    <row r="4" spans="1:73" ht="15" customHeight="1" x14ac:dyDescent="0.25">
      <c r="G4" s="167"/>
      <c r="H4" s="908" t="s">
        <v>483</v>
      </c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10"/>
      <c r="AB4" s="5"/>
      <c r="AC4" s="5"/>
      <c r="AD4" s="5"/>
      <c r="AE4" s="6"/>
      <c r="AF4" s="5"/>
      <c r="AG4" s="5"/>
      <c r="AH4" s="88" t="s">
        <v>45</v>
      </c>
      <c r="AI4" s="89">
        <v>12</v>
      </c>
      <c r="AJ4" s="6"/>
      <c r="AK4" s="6"/>
      <c r="AL4" s="5"/>
    </row>
    <row r="5" spans="1:73" ht="37.5" customHeight="1" thickBot="1" x14ac:dyDescent="0.35">
      <c r="G5" s="167"/>
      <c r="H5" s="911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3"/>
      <c r="AB5" s="5"/>
      <c r="AC5" s="5"/>
      <c r="AD5" s="5"/>
      <c r="AE5" s="6"/>
      <c r="AF5" s="5"/>
      <c r="AG5" s="5"/>
      <c r="AH5" s="88" t="s">
        <v>46</v>
      </c>
      <c r="AI5" s="89">
        <f>meta3!AB2</f>
        <v>5</v>
      </c>
      <c r="AJ5" s="6"/>
      <c r="AK5" s="5"/>
      <c r="AL5" s="5"/>
      <c r="AP5" s="165" t="s">
        <v>107</v>
      </c>
      <c r="AQ5" s="165" t="s">
        <v>108</v>
      </c>
      <c r="AR5" s="168"/>
      <c r="AU5" s="168"/>
      <c r="AV5" s="168"/>
      <c r="AW5" s="169"/>
      <c r="AX5" s="169"/>
      <c r="AY5" s="170"/>
    </row>
    <row r="6" spans="1:73" ht="48" customHeight="1" thickBot="1" x14ac:dyDescent="0.3">
      <c r="G6" s="167"/>
      <c r="H6" s="923" t="s">
        <v>4</v>
      </c>
      <c r="I6" s="924"/>
      <c r="J6" s="924"/>
      <c r="K6" s="924"/>
      <c r="L6" s="924"/>
      <c r="M6" s="924"/>
      <c r="N6" s="924"/>
      <c r="O6" s="924"/>
      <c r="P6" s="924"/>
      <c r="Q6" s="924"/>
      <c r="R6" s="924"/>
      <c r="S6" s="924"/>
      <c r="T6" s="924"/>
      <c r="U6" s="925"/>
      <c r="V6" s="171" t="s">
        <v>5</v>
      </c>
      <c r="W6" s="914" t="s">
        <v>6</v>
      </c>
      <c r="X6" s="916">
        <f>+NOMBRE!$B$9</f>
        <v>2024</v>
      </c>
      <c r="Y6" s="917"/>
      <c r="Z6" s="918" t="s">
        <v>7</v>
      </c>
      <c r="AA6" s="919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O6" s="903"/>
      <c r="AP6" s="903"/>
      <c r="AQ6" s="904"/>
      <c r="AR6" s="172"/>
      <c r="AU6" s="905" t="s">
        <v>109</v>
      </c>
      <c r="AV6" s="905"/>
      <c r="AW6" s="905"/>
      <c r="AX6" s="173"/>
      <c r="AY6" s="163"/>
    </row>
    <row r="7" spans="1:73" ht="108.75" customHeight="1" thickBot="1" x14ac:dyDescent="0.3">
      <c r="G7" s="609" t="s">
        <v>438</v>
      </c>
      <c r="H7" s="920" t="s">
        <v>435</v>
      </c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1"/>
      <c r="T7" s="921"/>
      <c r="U7" s="922"/>
      <c r="V7" s="174" t="s">
        <v>111</v>
      </c>
      <c r="W7" s="915"/>
      <c r="X7" s="175" t="s">
        <v>11</v>
      </c>
      <c r="Y7" s="679" t="s">
        <v>43</v>
      </c>
      <c r="Z7" s="176" t="s">
        <v>13</v>
      </c>
      <c r="AA7" s="14" t="s">
        <v>112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O7" s="177" t="s">
        <v>433</v>
      </c>
      <c r="AP7" s="177" t="s">
        <v>113</v>
      </c>
      <c r="AQ7" s="177" t="s">
        <v>114</v>
      </c>
      <c r="AR7" s="172"/>
      <c r="AU7" s="178" t="s">
        <v>115</v>
      </c>
      <c r="AV7" s="178" t="s">
        <v>116</v>
      </c>
      <c r="AW7" s="179" t="s">
        <v>117</v>
      </c>
      <c r="AX7" s="179" t="s">
        <v>118</v>
      </c>
      <c r="AY7" s="179" t="s">
        <v>119</v>
      </c>
      <c r="BK7" s="180" t="s">
        <v>120</v>
      </c>
      <c r="BL7" s="181" t="s">
        <v>121</v>
      </c>
      <c r="BM7" s="181" t="s">
        <v>122</v>
      </c>
      <c r="BN7" s="181" t="s">
        <v>123</v>
      </c>
      <c r="BQ7" s="162" t="s">
        <v>434</v>
      </c>
    </row>
    <row r="8" spans="1:73" ht="24" customHeight="1" thickBot="1" x14ac:dyDescent="0.3">
      <c r="G8" s="455"/>
      <c r="H8" s="456"/>
      <c r="I8" s="515" t="s">
        <v>189</v>
      </c>
      <c r="J8" s="515" t="s">
        <v>190</v>
      </c>
      <c r="K8" s="515" t="s">
        <v>191</v>
      </c>
      <c r="L8" s="515" t="s">
        <v>192</v>
      </c>
      <c r="M8" s="515" t="s">
        <v>193</v>
      </c>
      <c r="N8" s="515" t="s">
        <v>194</v>
      </c>
      <c r="O8" s="515" t="s">
        <v>195</v>
      </c>
      <c r="P8" s="515" t="s">
        <v>196</v>
      </c>
      <c r="Q8" s="515" t="s">
        <v>428</v>
      </c>
      <c r="R8" s="515" t="s">
        <v>198</v>
      </c>
      <c r="S8" s="515" t="s">
        <v>199</v>
      </c>
      <c r="T8" s="515" t="s">
        <v>200</v>
      </c>
      <c r="U8" s="427" t="s">
        <v>201</v>
      </c>
      <c r="V8" s="457"/>
      <c r="W8" s="516"/>
      <c r="X8" s="680">
        <f>indicadores!E29</f>
        <v>0.23880000000000001</v>
      </c>
      <c r="Y8" s="679">
        <f>indicadores!$D$54</f>
        <v>0.24</v>
      </c>
      <c r="Z8" s="517"/>
      <c r="AA8" s="518">
        <v>5.27</v>
      </c>
      <c r="AB8" s="94" t="s">
        <v>68</v>
      </c>
      <c r="AC8" s="94" t="s">
        <v>69</v>
      </c>
      <c r="AD8" s="94" t="s">
        <v>70</v>
      </c>
      <c r="AE8" s="525" t="s">
        <v>71</v>
      </c>
      <c r="AF8" s="525" t="s">
        <v>72</v>
      </c>
      <c r="AG8" s="525" t="s">
        <v>73</v>
      </c>
      <c r="AH8" s="525" t="s">
        <v>74</v>
      </c>
      <c r="AI8" s="525" t="s">
        <v>75</v>
      </c>
      <c r="AJ8" s="525" t="s">
        <v>76</v>
      </c>
      <c r="AK8" s="94" t="s">
        <v>77</v>
      </c>
      <c r="AL8" s="94" t="s">
        <v>78</v>
      </c>
      <c r="AO8" s="461"/>
      <c r="AP8" s="462"/>
      <c r="AQ8" s="462"/>
      <c r="AR8" s="172"/>
      <c r="AU8" s="463"/>
      <c r="AV8" s="463"/>
      <c r="AW8" s="179"/>
      <c r="AX8" s="179"/>
      <c r="AY8" s="179"/>
      <c r="BK8" s="464"/>
      <c r="BL8" s="465"/>
      <c r="BM8" s="465"/>
      <c r="BN8" s="465"/>
    </row>
    <row r="9" spans="1:73" s="193" customFormat="1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182"/>
      <c r="I9" s="182"/>
      <c r="J9" s="182"/>
      <c r="K9" s="182">
        <f t="shared" ref="K9:K15" si="0">+AO9+AP9-AQ9</f>
        <v>2783</v>
      </c>
      <c r="L9" s="182"/>
      <c r="M9" s="182"/>
      <c r="N9" s="182"/>
      <c r="O9" s="182"/>
      <c r="P9" s="182"/>
      <c r="Q9" s="182"/>
      <c r="R9" s="182"/>
      <c r="S9" s="182"/>
      <c r="T9" s="182"/>
      <c r="U9" s="755">
        <f>+AO9+AP9-AQ9</f>
        <v>2783</v>
      </c>
      <c r="V9" s="521">
        <f>Poblacion2024!Z6</f>
        <v>8302.9993200000008</v>
      </c>
      <c r="W9" s="35">
        <f t="shared" ref="W9:W15" si="1">IF(V9=0,0,+K9/V9)</f>
        <v>0.33518008285227702</v>
      </c>
      <c r="X9" s="522">
        <f>$X$8</f>
        <v>0.23880000000000001</v>
      </c>
      <c r="Y9" s="522">
        <f>+X9*$Y$8</f>
        <v>5.7312000000000002E-2</v>
      </c>
      <c r="Z9" s="110">
        <f t="shared" ref="Z9:Z15" si="2">IF(+W9/Y9&gt;1,1,+W9/Y9)</f>
        <v>1</v>
      </c>
      <c r="AA9" s="71">
        <f>(+Z9*$AA$8/100)</f>
        <v>5.2699999999999997E-2</v>
      </c>
      <c r="AB9" s="146">
        <f>X9</f>
        <v>0.23880000000000001</v>
      </c>
      <c r="AC9" s="146">
        <f>(AG9/AE9)</f>
        <v>0.33518008285227702</v>
      </c>
      <c r="AD9" s="147">
        <f>AC9/AB9</f>
        <v>1.4036016869860846</v>
      </c>
      <c r="AE9" s="502">
        <f>V9</f>
        <v>8302.9993200000008</v>
      </c>
      <c r="AF9" s="503">
        <f>AE9*AB9</f>
        <v>1982.7562376160004</v>
      </c>
      <c r="AG9" s="502">
        <f t="shared" ref="AG9:AG15" si="3">K9</f>
        <v>2783</v>
      </c>
      <c r="AH9" s="503">
        <f>AF9/$AI$4</f>
        <v>165.22968646800004</v>
      </c>
      <c r="AI9" s="503">
        <f>AH9*$AI$5</f>
        <v>826.14843234000023</v>
      </c>
      <c r="AJ9" s="503">
        <f t="shared" ref="AJ9:AJ15" si="4">K9</f>
        <v>2783</v>
      </c>
      <c r="AK9" s="99">
        <f>AJ9/AI9</f>
        <v>3.3686440487666025</v>
      </c>
      <c r="AL9" s="431">
        <f>(AI9-AJ9)*-1</f>
        <v>1956.8515676599998</v>
      </c>
      <c r="AM9" s="5"/>
      <c r="AN9" s="19" t="s">
        <v>95</v>
      </c>
      <c r="AO9" s="184">
        <f>REMP!J6</f>
        <v>2600</v>
      </c>
      <c r="AP9" s="144">
        <f>REMC!AS6</f>
        <v>367</v>
      </c>
      <c r="AQ9" s="144">
        <f>REMC!BG6</f>
        <v>184</v>
      </c>
      <c r="AR9" s="185"/>
      <c r="AS9" s="186"/>
      <c r="AT9" s="187">
        <v>0.16838960162052669</v>
      </c>
      <c r="AU9" s="188">
        <v>0.17</v>
      </c>
      <c r="AV9" s="189">
        <v>0.17</v>
      </c>
      <c r="AW9" s="190">
        <f>+AV9-AU9</f>
        <v>0</v>
      </c>
      <c r="AX9" s="190">
        <f>+AW9*0.5</f>
        <v>0</v>
      </c>
      <c r="AY9" s="190">
        <f>+AX9+AU9</f>
        <v>0.17</v>
      </c>
      <c r="AZ9" s="191">
        <f>+BH9</f>
        <v>0.17</v>
      </c>
      <c r="BA9" s="191">
        <v>1</v>
      </c>
      <c r="BB9" s="191">
        <v>6.2500000000000014E-2</v>
      </c>
      <c r="BC9" s="192">
        <f t="shared" ref="BC9:BD14" si="5">+BA9-Z9</f>
        <v>0</v>
      </c>
      <c r="BD9" s="192">
        <f t="shared" si="5"/>
        <v>9.800000000000017E-3</v>
      </c>
      <c r="BG9" s="193" t="s">
        <v>26</v>
      </c>
      <c r="BH9" s="191">
        <v>0.17</v>
      </c>
      <c r="BI9" s="191">
        <v>0.21929999999999999</v>
      </c>
      <c r="BL9" s="194">
        <v>633</v>
      </c>
      <c r="BM9" s="194">
        <v>60</v>
      </c>
      <c r="BN9" s="194">
        <v>71</v>
      </c>
      <c r="BQ9" s="195">
        <f>+AO9+AP9-AQ9</f>
        <v>2783</v>
      </c>
      <c r="BR9" s="186"/>
      <c r="BT9" s="186"/>
      <c r="BU9" s="186"/>
    </row>
    <row r="10" spans="1:73" s="193" customFormat="1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79"/>
      <c r="I10" s="79"/>
      <c r="J10" s="79"/>
      <c r="K10" s="79">
        <f t="shared" si="0"/>
        <v>1360</v>
      </c>
      <c r="L10" s="79"/>
      <c r="M10" s="79"/>
      <c r="N10" s="79"/>
      <c r="O10" s="79"/>
      <c r="P10" s="79"/>
      <c r="Q10" s="79"/>
      <c r="R10" s="79"/>
      <c r="S10" s="79"/>
      <c r="T10" s="79"/>
      <c r="U10" s="755">
        <f t="shared" ref="U10:U15" si="6">+AO10+AP10-AQ10</f>
        <v>1360</v>
      </c>
      <c r="V10" s="519">
        <f>Poblacion2024!Z7</f>
        <v>5100.7</v>
      </c>
      <c r="W10" s="40">
        <f t="shared" si="1"/>
        <v>0.26663007038249653</v>
      </c>
      <c r="X10" s="523">
        <f t="shared" ref="X10:X15" si="7">$X$8</f>
        <v>0.23880000000000001</v>
      </c>
      <c r="Y10" s="522">
        <f t="shared" ref="Y10:Y17" si="8">+X10*$Y$8</f>
        <v>5.7312000000000002E-2</v>
      </c>
      <c r="Z10" s="113">
        <f t="shared" si="2"/>
        <v>1</v>
      </c>
      <c r="AA10" s="77">
        <f t="shared" ref="AA10:AA17" si="9">(+Z10*$AA$8/100)</f>
        <v>5.2699999999999997E-2</v>
      </c>
      <c r="AB10" s="146">
        <f t="shared" ref="AB10:AB17" si="10">X10</f>
        <v>0.23880000000000001</v>
      </c>
      <c r="AC10" s="146">
        <f t="shared" ref="AC10:AC17" si="11">(AG10/AE10)</f>
        <v>0.26663007038249653</v>
      </c>
      <c r="AD10" s="147">
        <f t="shared" ref="AD10:AD17" si="12">AC10/AB10</f>
        <v>1.1165413332600356</v>
      </c>
      <c r="AE10" s="502">
        <f t="shared" ref="AE10:AE17" si="13">V10</f>
        <v>5100.7</v>
      </c>
      <c r="AF10" s="503">
        <f t="shared" ref="AF10:AF17" si="14">AE10*AB10</f>
        <v>1218.0471600000001</v>
      </c>
      <c r="AG10" s="502">
        <f t="shared" si="3"/>
        <v>1360</v>
      </c>
      <c r="AH10" s="503">
        <f t="shared" ref="AH10:AH15" si="15">AF10/$AI$4</f>
        <v>101.50393000000001</v>
      </c>
      <c r="AI10" s="503">
        <f t="shared" ref="AI10:AI17" si="16">AH10*$AI$5</f>
        <v>507.51965000000007</v>
      </c>
      <c r="AJ10" s="503">
        <f t="shared" si="4"/>
        <v>1360</v>
      </c>
      <c r="AK10" s="99">
        <f t="shared" ref="AK10:AK17" si="17">AJ10/AI10</f>
        <v>2.6796991998240851</v>
      </c>
      <c r="AL10" s="431">
        <f t="shared" ref="AL10:AL17" si="18">(AI10-AJ10)*-1</f>
        <v>852.48034999999993</v>
      </c>
      <c r="AM10" s="5"/>
      <c r="AN10" s="19" t="s">
        <v>96</v>
      </c>
      <c r="AO10" s="184">
        <f>REMP!J7</f>
        <v>1309</v>
      </c>
      <c r="AP10" s="144">
        <f>REMC!AS7</f>
        <v>347</v>
      </c>
      <c r="AQ10" s="144">
        <f>REMC!BG7</f>
        <v>296</v>
      </c>
      <c r="AR10" s="185"/>
      <c r="AS10" s="186"/>
      <c r="AT10" s="187">
        <v>0.16590575275397798</v>
      </c>
      <c r="AU10" s="188">
        <v>0.17</v>
      </c>
      <c r="AV10" s="189">
        <v>0.17</v>
      </c>
      <c r="AW10" s="190">
        <f t="shared" ref="AW10:AW14" si="19">+AV10-AU10</f>
        <v>0</v>
      </c>
      <c r="AX10" s="190">
        <f t="shared" ref="AX10:AX14" si="20">+AW10*0.5</f>
        <v>0</v>
      </c>
      <c r="AY10" s="190">
        <f t="shared" ref="AY10:AY14" si="21">+AX10+AU10</f>
        <v>0.17</v>
      </c>
      <c r="AZ10" s="191">
        <f>+BH12</f>
        <v>0.17</v>
      </c>
      <c r="BA10" s="191">
        <v>1</v>
      </c>
      <c r="BB10" s="191">
        <v>6.2500000000000014E-2</v>
      </c>
      <c r="BC10" s="192">
        <f t="shared" si="5"/>
        <v>0</v>
      </c>
      <c r="BD10" s="192">
        <f t="shared" si="5"/>
        <v>9.800000000000017E-3</v>
      </c>
      <c r="BG10" s="193" t="s">
        <v>124</v>
      </c>
      <c r="BH10" s="191">
        <v>0.17</v>
      </c>
      <c r="BI10" s="191">
        <v>0.2344</v>
      </c>
      <c r="BL10" s="194">
        <v>1511</v>
      </c>
      <c r="BM10" s="194">
        <v>345</v>
      </c>
      <c r="BN10" s="194">
        <v>117</v>
      </c>
      <c r="BQ10" s="195">
        <f>+AO10+AP10-AQ10</f>
        <v>1360</v>
      </c>
    </row>
    <row r="11" spans="1:73" s="193" customFormat="1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3"/>
      <c r="I11" s="73"/>
      <c r="J11" s="73"/>
      <c r="K11" s="73">
        <f t="shared" si="0"/>
        <v>1021</v>
      </c>
      <c r="L11" s="73"/>
      <c r="M11" s="73"/>
      <c r="N11" s="73"/>
      <c r="O11" s="73"/>
      <c r="P11" s="73"/>
      <c r="Q11" s="73"/>
      <c r="R11" s="73"/>
      <c r="S11" s="73"/>
      <c r="T11" s="73"/>
      <c r="U11" s="756">
        <f t="shared" si="6"/>
        <v>1021</v>
      </c>
      <c r="V11" s="519">
        <f>Poblacion2024!Z8</f>
        <v>4023.36</v>
      </c>
      <c r="W11" s="40">
        <f t="shared" si="1"/>
        <v>0.25376799490972718</v>
      </c>
      <c r="X11" s="523">
        <f t="shared" si="7"/>
        <v>0.23880000000000001</v>
      </c>
      <c r="Y11" s="522">
        <f t="shared" si="8"/>
        <v>5.7312000000000002E-2</v>
      </c>
      <c r="Z11" s="113">
        <f t="shared" si="2"/>
        <v>1</v>
      </c>
      <c r="AA11" s="77">
        <f t="shared" si="9"/>
        <v>5.2699999999999997E-2</v>
      </c>
      <c r="AB11" s="146">
        <f t="shared" si="10"/>
        <v>0.23880000000000001</v>
      </c>
      <c r="AC11" s="146">
        <f t="shared" si="11"/>
        <v>0.25376799490972718</v>
      </c>
      <c r="AD11" s="147">
        <f t="shared" si="12"/>
        <v>1.0626800456856247</v>
      </c>
      <c r="AE11" s="502">
        <f t="shared" si="13"/>
        <v>4023.36</v>
      </c>
      <c r="AF11" s="503">
        <f t="shared" si="14"/>
        <v>960.77836800000011</v>
      </c>
      <c r="AG11" s="502">
        <f t="shared" si="3"/>
        <v>1021</v>
      </c>
      <c r="AH11" s="503">
        <f t="shared" si="15"/>
        <v>80.064864000000014</v>
      </c>
      <c r="AI11" s="503">
        <f t="shared" si="16"/>
        <v>400.32432000000006</v>
      </c>
      <c r="AJ11" s="503">
        <f t="shared" si="4"/>
        <v>1021</v>
      </c>
      <c r="AK11" s="99">
        <f t="shared" si="17"/>
        <v>2.5504321096454992</v>
      </c>
      <c r="AL11" s="431">
        <f t="shared" si="18"/>
        <v>620.67567999999994</v>
      </c>
      <c r="AM11" s="5"/>
      <c r="AN11" s="19" t="s">
        <v>97</v>
      </c>
      <c r="AO11" s="184">
        <f>REMP!J8</f>
        <v>848</v>
      </c>
      <c r="AP11" s="144">
        <f>REMC!AS8</f>
        <v>436</v>
      </c>
      <c r="AQ11" s="144">
        <f>REMC!BG8</f>
        <v>263</v>
      </c>
      <c r="AR11" s="185"/>
      <c r="AS11" s="186"/>
      <c r="AT11" s="187">
        <v>0.22822151067323482</v>
      </c>
      <c r="AU11" s="188">
        <v>0.17</v>
      </c>
      <c r="AV11" s="189">
        <v>0.17</v>
      </c>
      <c r="AW11" s="190">
        <f t="shared" si="19"/>
        <v>0</v>
      </c>
      <c r="AX11" s="190">
        <f t="shared" si="20"/>
        <v>0</v>
      </c>
      <c r="AY11" s="190">
        <f t="shared" si="21"/>
        <v>0.17</v>
      </c>
      <c r="AZ11" s="191">
        <f>+BH10</f>
        <v>0.17</v>
      </c>
      <c r="BA11" s="191">
        <v>1</v>
      </c>
      <c r="BB11" s="191">
        <v>6.2500000000000014E-2</v>
      </c>
      <c r="BC11" s="192">
        <f t="shared" si="5"/>
        <v>0</v>
      </c>
      <c r="BD11" s="192">
        <f t="shared" si="5"/>
        <v>9.800000000000017E-3</v>
      </c>
      <c r="BG11" s="193" t="s">
        <v>32</v>
      </c>
      <c r="BH11" s="191">
        <v>0.17</v>
      </c>
      <c r="BI11" s="191">
        <v>0.26929999999999998</v>
      </c>
      <c r="BL11" s="194">
        <v>1730</v>
      </c>
      <c r="BM11" s="194">
        <v>193</v>
      </c>
      <c r="BN11" s="194">
        <v>13</v>
      </c>
      <c r="BQ11" s="195">
        <f t="shared" ref="BQ11:BQ17" si="22">+AO11+AP11-AQ11</f>
        <v>1021</v>
      </c>
    </row>
    <row r="12" spans="1:73" s="193" customFormat="1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/>
      <c r="I12" s="73"/>
      <c r="J12" s="73"/>
      <c r="K12" s="73">
        <f t="shared" si="0"/>
        <v>921</v>
      </c>
      <c r="L12" s="73"/>
      <c r="M12" s="73"/>
      <c r="N12" s="73"/>
      <c r="O12" s="73"/>
      <c r="P12" s="73"/>
      <c r="Q12" s="73"/>
      <c r="R12" s="73"/>
      <c r="S12" s="73"/>
      <c r="T12" s="73"/>
      <c r="U12" s="756">
        <f t="shared" si="6"/>
        <v>921</v>
      </c>
      <c r="V12" s="519">
        <f>Poblacion2024!Z9</f>
        <v>4068.3978720000009</v>
      </c>
      <c r="W12" s="40">
        <f t="shared" si="1"/>
        <v>0.22637903886898891</v>
      </c>
      <c r="X12" s="523">
        <f t="shared" si="7"/>
        <v>0.23880000000000001</v>
      </c>
      <c r="Y12" s="522">
        <f t="shared" si="8"/>
        <v>5.7312000000000002E-2</v>
      </c>
      <c r="Z12" s="113">
        <f t="shared" si="2"/>
        <v>1</v>
      </c>
      <c r="AA12" s="77">
        <f t="shared" si="9"/>
        <v>5.2699999999999997E-2</v>
      </c>
      <c r="AB12" s="146">
        <f t="shared" si="10"/>
        <v>0.23880000000000001</v>
      </c>
      <c r="AC12" s="146">
        <f t="shared" si="11"/>
        <v>0.22637903886898891</v>
      </c>
      <c r="AD12" s="147">
        <f t="shared" si="12"/>
        <v>0.94798592491201383</v>
      </c>
      <c r="AE12" s="502">
        <f t="shared" si="13"/>
        <v>4068.3978720000009</v>
      </c>
      <c r="AF12" s="503">
        <f t="shared" si="14"/>
        <v>971.53341183360021</v>
      </c>
      <c r="AG12" s="502">
        <f t="shared" si="3"/>
        <v>921</v>
      </c>
      <c r="AH12" s="503">
        <f t="shared" si="15"/>
        <v>80.961117652800013</v>
      </c>
      <c r="AI12" s="503">
        <f t="shared" si="16"/>
        <v>404.80558826400005</v>
      </c>
      <c r="AJ12" s="503">
        <f t="shared" si="4"/>
        <v>921</v>
      </c>
      <c r="AK12" s="99">
        <f t="shared" si="17"/>
        <v>2.2751662197888334</v>
      </c>
      <c r="AL12" s="431">
        <f t="shared" si="18"/>
        <v>516.19441173599989</v>
      </c>
      <c r="AM12" s="5"/>
      <c r="AN12" s="19" t="s">
        <v>98</v>
      </c>
      <c r="AO12" s="184">
        <f>REMP!J9</f>
        <v>763</v>
      </c>
      <c r="AP12" s="144">
        <f>REMC!AS9</f>
        <v>192</v>
      </c>
      <c r="AQ12" s="144">
        <f>REMC!BG9</f>
        <v>34</v>
      </c>
      <c r="AR12" s="185"/>
      <c r="AS12" s="186"/>
      <c r="AT12" s="187">
        <v>0.11272277227722774</v>
      </c>
      <c r="AU12" s="188">
        <v>0.17</v>
      </c>
      <c r="AV12" s="189">
        <v>0.17</v>
      </c>
      <c r="AW12" s="190">
        <f t="shared" si="19"/>
        <v>0</v>
      </c>
      <c r="AX12" s="190">
        <f t="shared" si="20"/>
        <v>0</v>
      </c>
      <c r="AY12" s="190">
        <f t="shared" si="21"/>
        <v>0.17</v>
      </c>
      <c r="AZ12" s="191">
        <f>+BH11</f>
        <v>0.17</v>
      </c>
      <c r="BA12" s="191">
        <v>1</v>
      </c>
      <c r="BB12" s="191">
        <v>6.2500000000000014E-2</v>
      </c>
      <c r="BC12" s="192">
        <f t="shared" si="5"/>
        <v>0</v>
      </c>
      <c r="BD12" s="192">
        <f t="shared" si="5"/>
        <v>9.800000000000017E-3</v>
      </c>
      <c r="BG12" s="193" t="s">
        <v>31</v>
      </c>
      <c r="BH12" s="191">
        <v>0.17</v>
      </c>
      <c r="BI12" s="191">
        <v>0.21340000000000001</v>
      </c>
      <c r="BL12" s="194">
        <v>1218</v>
      </c>
      <c r="BM12" s="194">
        <v>94</v>
      </c>
      <c r="BN12" s="194">
        <v>52</v>
      </c>
      <c r="BQ12" s="195">
        <f t="shared" si="22"/>
        <v>921</v>
      </c>
    </row>
    <row r="13" spans="1:73" s="193" customFormat="1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/>
      <c r="I13" s="73"/>
      <c r="J13" s="73"/>
      <c r="K13" s="73">
        <f t="shared" si="0"/>
        <v>1939</v>
      </c>
      <c r="L13" s="73"/>
      <c r="M13" s="73"/>
      <c r="N13" s="73"/>
      <c r="O13" s="73"/>
      <c r="P13" s="73"/>
      <c r="Q13" s="73"/>
      <c r="R13" s="73"/>
      <c r="S13" s="73"/>
      <c r="T13" s="73"/>
      <c r="U13" s="756">
        <f t="shared" si="6"/>
        <v>1939</v>
      </c>
      <c r="V13" s="519">
        <f>Poblacion2024!Z10</f>
        <v>4071.98</v>
      </c>
      <c r="W13" s="40">
        <f t="shared" si="1"/>
        <v>0.47618112073242008</v>
      </c>
      <c r="X13" s="523">
        <f t="shared" si="7"/>
        <v>0.23880000000000001</v>
      </c>
      <c r="Y13" s="522">
        <f t="shared" si="8"/>
        <v>5.7312000000000002E-2</v>
      </c>
      <c r="Z13" s="113">
        <f t="shared" si="2"/>
        <v>1</v>
      </c>
      <c r="AA13" s="77">
        <f t="shared" si="9"/>
        <v>5.2699999999999997E-2</v>
      </c>
      <c r="AB13" s="146">
        <f t="shared" si="10"/>
        <v>0.23880000000000001</v>
      </c>
      <c r="AC13" s="146">
        <f t="shared" si="11"/>
        <v>0.47618112073242008</v>
      </c>
      <c r="AD13" s="147">
        <f t="shared" si="12"/>
        <v>1.9940582945243721</v>
      </c>
      <c r="AE13" s="502">
        <f t="shared" si="13"/>
        <v>4071.98</v>
      </c>
      <c r="AF13" s="503">
        <f t="shared" si="14"/>
        <v>972.388824</v>
      </c>
      <c r="AG13" s="502">
        <f t="shared" si="3"/>
        <v>1939</v>
      </c>
      <c r="AH13" s="503">
        <f t="shared" si="15"/>
        <v>81.032402000000005</v>
      </c>
      <c r="AI13" s="503">
        <f t="shared" si="16"/>
        <v>405.16201000000001</v>
      </c>
      <c r="AJ13" s="503">
        <f t="shared" si="4"/>
        <v>1939</v>
      </c>
      <c r="AK13" s="99">
        <f t="shared" si="17"/>
        <v>4.7857399068584936</v>
      </c>
      <c r="AL13" s="431">
        <f t="shared" si="18"/>
        <v>1533.83799</v>
      </c>
      <c r="AM13" s="5"/>
      <c r="AN13" s="19" t="s">
        <v>99</v>
      </c>
      <c r="AO13" s="184">
        <f>REMP!J10</f>
        <v>1732</v>
      </c>
      <c r="AP13" s="144">
        <f>REMC!AS10</f>
        <v>219</v>
      </c>
      <c r="AQ13" s="144">
        <f>REMC!BG10</f>
        <v>12</v>
      </c>
      <c r="AR13" s="185"/>
      <c r="AS13" s="186"/>
      <c r="AT13" s="187">
        <v>0.21899703217744454</v>
      </c>
      <c r="AU13" s="188">
        <v>0.17</v>
      </c>
      <c r="AV13" s="189">
        <v>0.17</v>
      </c>
      <c r="AW13" s="190">
        <f t="shared" si="19"/>
        <v>0</v>
      </c>
      <c r="AX13" s="190">
        <f t="shared" si="20"/>
        <v>0</v>
      </c>
      <c r="AY13" s="190">
        <f t="shared" si="21"/>
        <v>0.17</v>
      </c>
      <c r="AZ13" s="191">
        <f t="shared" ref="AZ13:AZ14" si="23">+BH13</f>
        <v>0.17</v>
      </c>
      <c r="BA13" s="191">
        <v>0.88647058823529401</v>
      </c>
      <c r="BB13" s="191">
        <v>5.540441176470589E-2</v>
      </c>
      <c r="BC13" s="192">
        <f t="shared" si="5"/>
        <v>-0.11352941176470599</v>
      </c>
      <c r="BD13" s="192">
        <f t="shared" si="5"/>
        <v>2.7044117647058927E-3</v>
      </c>
      <c r="BG13" s="193" t="s">
        <v>33</v>
      </c>
      <c r="BH13" s="191">
        <v>0.17</v>
      </c>
      <c r="BI13" s="191">
        <v>0.1507</v>
      </c>
      <c r="BL13" s="194">
        <v>820</v>
      </c>
      <c r="BM13" s="194">
        <v>44</v>
      </c>
      <c r="BN13" s="194">
        <v>32</v>
      </c>
      <c r="BQ13" s="195">
        <f t="shared" si="22"/>
        <v>1939</v>
      </c>
    </row>
    <row r="14" spans="1:73" s="193" customFormat="1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/>
      <c r="I14" s="73"/>
      <c r="J14" s="73"/>
      <c r="K14" s="73">
        <f t="shared" si="0"/>
        <v>22</v>
      </c>
      <c r="L14" s="73"/>
      <c r="M14" s="73"/>
      <c r="N14" s="73"/>
      <c r="O14" s="73"/>
      <c r="P14" s="73"/>
      <c r="Q14" s="73"/>
      <c r="R14" s="73"/>
      <c r="S14" s="73"/>
      <c r="T14" s="73"/>
      <c r="U14" s="756">
        <f t="shared" si="6"/>
        <v>22</v>
      </c>
      <c r="V14" s="519">
        <f>Poblacion2024!Z11</f>
        <v>109.36067999999999</v>
      </c>
      <c r="W14" s="40">
        <f t="shared" si="1"/>
        <v>0.2011691953634524</v>
      </c>
      <c r="X14" s="523">
        <f t="shared" si="7"/>
        <v>0.23880000000000001</v>
      </c>
      <c r="Y14" s="522">
        <f t="shared" si="8"/>
        <v>5.7312000000000002E-2</v>
      </c>
      <c r="Z14" s="113">
        <f t="shared" si="2"/>
        <v>1</v>
      </c>
      <c r="AA14" s="77">
        <f t="shared" si="9"/>
        <v>5.2699999999999997E-2</v>
      </c>
      <c r="AB14" s="146">
        <f t="shared" si="10"/>
        <v>0.23880000000000001</v>
      </c>
      <c r="AC14" s="146">
        <f t="shared" si="11"/>
        <v>0.2011691953634524</v>
      </c>
      <c r="AD14" s="147">
        <f t="shared" si="12"/>
        <v>0.84241706601110722</v>
      </c>
      <c r="AE14" s="502">
        <f t="shared" si="13"/>
        <v>109.36067999999999</v>
      </c>
      <c r="AF14" s="503">
        <f t="shared" si="14"/>
        <v>26.115330384</v>
      </c>
      <c r="AG14" s="502">
        <f t="shared" si="3"/>
        <v>22</v>
      </c>
      <c r="AH14" s="503">
        <f t="shared" si="15"/>
        <v>2.1762775319999998</v>
      </c>
      <c r="AI14" s="503">
        <f t="shared" si="16"/>
        <v>10.88138766</v>
      </c>
      <c r="AJ14" s="503">
        <f t="shared" si="4"/>
        <v>22</v>
      </c>
      <c r="AK14" s="99">
        <f t="shared" si="17"/>
        <v>2.0218009584266574</v>
      </c>
      <c r="AL14" s="431">
        <f t="shared" si="18"/>
        <v>11.11861234</v>
      </c>
      <c r="AM14" s="5"/>
      <c r="AN14" s="19" t="s">
        <v>100</v>
      </c>
      <c r="AO14" s="184">
        <f>REMP!J11</f>
        <v>26</v>
      </c>
      <c r="AP14" s="144">
        <f>REMC!AS11</f>
        <v>3</v>
      </c>
      <c r="AQ14" s="144">
        <f>REMC!BG11</f>
        <v>7</v>
      </c>
      <c r="AR14" s="185"/>
      <c r="AS14" s="186"/>
      <c r="AT14" s="187">
        <v>0.13024505588993981</v>
      </c>
      <c r="AU14" s="188">
        <v>0.17</v>
      </c>
      <c r="AV14" s="189">
        <v>0.17</v>
      </c>
      <c r="AW14" s="190">
        <f t="shared" si="19"/>
        <v>0</v>
      </c>
      <c r="AX14" s="190">
        <f t="shared" si="20"/>
        <v>0</v>
      </c>
      <c r="AY14" s="190">
        <f t="shared" si="21"/>
        <v>0.17</v>
      </c>
      <c r="AZ14" s="191">
        <f t="shared" si="23"/>
        <v>0.153</v>
      </c>
      <c r="BA14" s="191">
        <v>1</v>
      </c>
      <c r="BB14" s="191">
        <v>6.2500000000000014E-2</v>
      </c>
      <c r="BC14" s="192">
        <f t="shared" si="5"/>
        <v>0</v>
      </c>
      <c r="BD14" s="192">
        <f t="shared" si="5"/>
        <v>9.800000000000017E-3</v>
      </c>
      <c r="BG14" s="193" t="s">
        <v>25</v>
      </c>
      <c r="BH14" s="191">
        <v>0.153</v>
      </c>
      <c r="BI14" s="191">
        <v>0.21920000000000001</v>
      </c>
      <c r="BL14" s="194">
        <v>2358</v>
      </c>
      <c r="BM14" s="194">
        <v>262</v>
      </c>
      <c r="BN14" s="194">
        <v>157</v>
      </c>
      <c r="BQ14" s="195">
        <f t="shared" si="22"/>
        <v>22</v>
      </c>
    </row>
    <row r="15" spans="1:73" s="193" customFormat="1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81"/>
      <c r="I15" s="81"/>
      <c r="J15" s="81"/>
      <c r="K15" s="81">
        <f t="shared" si="0"/>
        <v>498</v>
      </c>
      <c r="L15" s="81"/>
      <c r="M15" s="81"/>
      <c r="N15" s="81"/>
      <c r="O15" s="81"/>
      <c r="P15" s="81"/>
      <c r="Q15" s="81"/>
      <c r="R15" s="81"/>
      <c r="S15" s="81"/>
      <c r="T15" s="81"/>
      <c r="U15" s="757">
        <f t="shared" si="6"/>
        <v>498</v>
      </c>
      <c r="V15" s="520">
        <f>Poblacion2024!Z12</f>
        <v>1073.6621280000002</v>
      </c>
      <c r="W15" s="49">
        <f t="shared" si="1"/>
        <v>0.46383306909378097</v>
      </c>
      <c r="X15" s="524">
        <f t="shared" si="7"/>
        <v>0.23880000000000001</v>
      </c>
      <c r="Y15" s="681">
        <f t="shared" si="8"/>
        <v>5.7312000000000002E-2</v>
      </c>
      <c r="Z15" s="117">
        <f t="shared" si="2"/>
        <v>1</v>
      </c>
      <c r="AA15" s="84">
        <f t="shared" si="9"/>
        <v>5.2699999999999997E-2</v>
      </c>
      <c r="AB15" s="146">
        <f t="shared" si="10"/>
        <v>0.23880000000000001</v>
      </c>
      <c r="AC15" s="146">
        <f t="shared" si="11"/>
        <v>0.46383306909378097</v>
      </c>
      <c r="AD15" s="147">
        <f t="shared" si="12"/>
        <v>1.9423495355685969</v>
      </c>
      <c r="AE15" s="502">
        <f t="shared" si="13"/>
        <v>1073.6621280000002</v>
      </c>
      <c r="AF15" s="503">
        <f t="shared" si="14"/>
        <v>256.39051616640006</v>
      </c>
      <c r="AG15" s="502">
        <f t="shared" si="3"/>
        <v>498</v>
      </c>
      <c r="AH15" s="503">
        <f t="shared" si="15"/>
        <v>21.365876347200004</v>
      </c>
      <c r="AI15" s="503">
        <f t="shared" si="16"/>
        <v>106.82938173600002</v>
      </c>
      <c r="AJ15" s="503">
        <f t="shared" si="4"/>
        <v>498</v>
      </c>
      <c r="AK15" s="99">
        <f t="shared" si="17"/>
        <v>4.6616388853646331</v>
      </c>
      <c r="AL15" s="431">
        <f t="shared" si="18"/>
        <v>391.17061826399998</v>
      </c>
      <c r="AM15" s="5"/>
      <c r="AN15" s="19" t="s">
        <v>101</v>
      </c>
      <c r="AO15" s="184">
        <f>REMP!J12</f>
        <v>427</v>
      </c>
      <c r="AP15" s="144">
        <f>REMC!AS12</f>
        <v>84</v>
      </c>
      <c r="AQ15" s="144">
        <f>REMC!BG12</f>
        <v>13</v>
      </c>
      <c r="AR15" s="185"/>
      <c r="AS15" s="186"/>
      <c r="AT15" s="187"/>
      <c r="AU15" s="188"/>
      <c r="AV15" s="189"/>
      <c r="AW15" s="190"/>
      <c r="AX15" s="190"/>
      <c r="AY15" s="190"/>
      <c r="AZ15" s="191"/>
      <c r="BA15" s="191"/>
      <c r="BB15" s="191"/>
      <c r="BC15" s="192"/>
      <c r="BD15" s="192"/>
      <c r="BH15" s="191"/>
      <c r="BI15" s="191"/>
      <c r="BL15" s="194"/>
      <c r="BM15" s="194"/>
      <c r="BN15" s="194"/>
      <c r="BQ15" s="195">
        <f t="shared" si="22"/>
        <v>498</v>
      </c>
    </row>
    <row r="16" spans="1:73" s="193" customFormat="1" ht="15.75" thickBot="1" x14ac:dyDescent="0.3">
      <c r="A16" s="5"/>
      <c r="B16" s="5"/>
      <c r="C16" s="5"/>
      <c r="D16" s="5"/>
      <c r="E16" s="6"/>
      <c r="F16" s="103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"/>
      <c r="AN16" s="57"/>
      <c r="AO16" s="197"/>
      <c r="AP16" s="197"/>
      <c r="AQ16" s="197"/>
      <c r="AR16" s="111"/>
      <c r="AS16" s="186"/>
      <c r="AT16" s="186"/>
      <c r="AU16" s="111"/>
      <c r="AV16" s="111"/>
      <c r="AW16" s="198"/>
      <c r="AX16" s="198"/>
      <c r="AY16" s="112"/>
      <c r="AZ16" s="186"/>
      <c r="BA16" s="191"/>
      <c r="BB16" s="191"/>
      <c r="BD16" s="191"/>
      <c r="BQ16" s="199">
        <f t="shared" si="22"/>
        <v>0</v>
      </c>
    </row>
    <row r="17" spans="1:69" s="193" customFormat="1" ht="18" thickBot="1" x14ac:dyDescent="0.35">
      <c r="A17" s="5"/>
      <c r="B17" s="5"/>
      <c r="C17" s="5"/>
      <c r="D17" s="5"/>
      <c r="E17" s="6"/>
      <c r="F17" s="103"/>
      <c r="G17" s="29" t="s">
        <v>202</v>
      </c>
      <c r="H17" s="748"/>
      <c r="I17" s="749">
        <f t="shared" ref="I17:P17" si="24">SUM(I9:I15)</f>
        <v>0</v>
      </c>
      <c r="J17" s="749">
        <f t="shared" si="24"/>
        <v>0</v>
      </c>
      <c r="K17" s="749">
        <f>SUM(K9:K15)</f>
        <v>8544</v>
      </c>
      <c r="L17" s="749">
        <f t="shared" si="24"/>
        <v>0</v>
      </c>
      <c r="M17" s="749">
        <f t="shared" si="24"/>
        <v>0</v>
      </c>
      <c r="N17" s="749">
        <f t="shared" si="24"/>
        <v>0</v>
      </c>
      <c r="O17" s="749">
        <f t="shared" si="24"/>
        <v>0</v>
      </c>
      <c r="P17" s="749">
        <f t="shared" si="24"/>
        <v>0</v>
      </c>
      <c r="Q17" s="749">
        <f t="shared" ref="Q17" si="25">SUM(Q9:Q15)</f>
        <v>0</v>
      </c>
      <c r="R17" s="749">
        <f t="shared" ref="R17:U17" si="26">SUM(R9:R15)</f>
        <v>0</v>
      </c>
      <c r="S17" s="749">
        <f t="shared" si="26"/>
        <v>0</v>
      </c>
      <c r="T17" s="749">
        <f t="shared" si="26"/>
        <v>0</v>
      </c>
      <c r="U17" s="749">
        <f t="shared" si="26"/>
        <v>8544</v>
      </c>
      <c r="V17" s="750">
        <f>SUM(V9:V15)</f>
        <v>26750.460000000003</v>
      </c>
      <c r="W17" s="751">
        <f>IF(V17=0,0,+K17/V17)</f>
        <v>0.31939637673520377</v>
      </c>
      <c r="X17" s="752">
        <f>$X$8</f>
        <v>0.23880000000000001</v>
      </c>
      <c r="Y17" s="753">
        <f t="shared" si="8"/>
        <v>5.7312000000000002E-2</v>
      </c>
      <c r="Z17" s="754">
        <f t="shared" ref="Z17" si="27">IF(+W17/Y17&gt;1,1,+W17/Y17)</f>
        <v>1</v>
      </c>
      <c r="AA17" s="514">
        <f t="shared" si="9"/>
        <v>5.2699999999999997E-2</v>
      </c>
      <c r="AB17" s="747">
        <f t="shared" si="10"/>
        <v>0.23880000000000001</v>
      </c>
      <c r="AC17" s="146">
        <f t="shared" si="11"/>
        <v>0.31939637673520377</v>
      </c>
      <c r="AD17" s="147">
        <f t="shared" si="12"/>
        <v>1.3375057652227962</v>
      </c>
      <c r="AE17" s="97">
        <f t="shared" si="13"/>
        <v>26750.460000000003</v>
      </c>
      <c r="AF17" s="98">
        <f t="shared" si="14"/>
        <v>6388.0098480000006</v>
      </c>
      <c r="AG17" s="97">
        <f>K17</f>
        <v>8544</v>
      </c>
      <c r="AH17" s="98">
        <f>AF17/$AI$4</f>
        <v>532.33415400000001</v>
      </c>
      <c r="AI17" s="98">
        <f t="shared" si="16"/>
        <v>2661.6707700000002</v>
      </c>
      <c r="AJ17" s="98">
        <f>K17</f>
        <v>8544</v>
      </c>
      <c r="AK17" s="99">
        <f t="shared" si="17"/>
        <v>3.2100138365347113</v>
      </c>
      <c r="AL17" s="431">
        <f t="shared" si="18"/>
        <v>5882.3292299999994</v>
      </c>
      <c r="AM17" s="5"/>
      <c r="AN17" s="57"/>
      <c r="AO17" s="200">
        <f>SUM(AO9:AO15)</f>
        <v>7705</v>
      </c>
      <c r="AP17" s="200">
        <f>SUM(AP9:AP15)</f>
        <v>1648</v>
      </c>
      <c r="AQ17" s="200">
        <f>SUM(AQ9:AQ15)</f>
        <v>809</v>
      </c>
      <c r="AR17" s="111"/>
      <c r="AS17" s="186"/>
      <c r="AT17" s="186"/>
      <c r="AU17" s="111"/>
      <c r="AV17" s="111"/>
      <c r="AW17" s="198"/>
      <c r="AX17" s="198"/>
      <c r="AY17" s="112"/>
      <c r="AZ17" s="186"/>
      <c r="BA17" s="191"/>
      <c r="BB17" s="191"/>
      <c r="BD17" s="191"/>
      <c r="BQ17" s="195">
        <f t="shared" si="22"/>
        <v>8544</v>
      </c>
    </row>
    <row r="18" spans="1:69" s="193" customFormat="1" x14ac:dyDescent="0.25">
      <c r="A18" s="5"/>
      <c r="B18" s="5"/>
      <c r="C18" s="5"/>
      <c r="D18" s="5"/>
      <c r="E18" s="6"/>
      <c r="F18" s="103"/>
      <c r="W18" s="191"/>
      <c r="Y18" s="196"/>
      <c r="AA18" s="196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6"/>
      <c r="AP18" s="186"/>
      <c r="AQ18" s="186"/>
      <c r="AR18" s="111"/>
      <c r="AS18" s="186"/>
      <c r="AT18" s="186"/>
      <c r="AU18" s="111"/>
      <c r="AV18" s="111"/>
      <c r="AW18" s="198"/>
      <c r="AX18" s="198"/>
      <c r="AY18" s="112"/>
      <c r="AZ18" s="186"/>
      <c r="BA18" s="191"/>
      <c r="BB18" s="191"/>
      <c r="BD18" s="191"/>
    </row>
  </sheetData>
  <autoFilter ref="G4:G15" xr:uid="{00000000-0001-0000-0C00-000000000000}"/>
  <mergeCells count="11">
    <mergeCell ref="AO6:AQ6"/>
    <mergeCell ref="AU6:AW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00B050"/>
  </sheetPr>
  <dimension ref="A1:AQ28"/>
  <sheetViews>
    <sheetView topLeftCell="F1" zoomScale="70" zoomScaleNormal="70" workbookViewId="0">
      <selection activeCell="U9" sqref="U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11" width="6.85546875" style="162" bestFit="1" customWidth="1"/>
    <col min="12" max="12" width="5.85546875" style="162" bestFit="1" customWidth="1"/>
    <col min="13" max="13" width="4.7109375" style="162" bestFit="1" customWidth="1"/>
    <col min="14" max="14" width="4" style="162" bestFit="1" customWidth="1"/>
    <col min="15" max="15" width="5.28515625" style="162" bestFit="1" customWidth="1"/>
    <col min="16" max="16" width="5.85546875" style="162" bestFit="1" customWidth="1"/>
    <col min="17" max="17" width="4.85546875" style="162" bestFit="1" customWidth="1"/>
    <col min="18" max="18" width="5.42578125" style="162" bestFit="1" customWidth="1"/>
    <col min="19" max="19" width="4.5703125" style="162" bestFit="1" customWidth="1"/>
    <col min="20" max="20" width="8.140625" style="162" bestFit="1" customWidth="1"/>
    <col min="21" max="21" width="27.5703125" style="162" customWidth="1"/>
    <col min="22" max="22" width="14.85546875" style="163" customWidth="1"/>
    <col min="23" max="23" width="12.5703125" style="162" customWidth="1"/>
    <col min="24" max="24" width="14.140625" style="204" customWidth="1"/>
    <col min="25" max="25" width="16.42578125" style="162" customWidth="1"/>
    <col min="26" max="26" width="16.85546875" style="164" customWidth="1"/>
    <col min="27" max="33" width="12.7109375" style="164" customWidth="1"/>
    <col min="34" max="34" width="12.7109375" style="205" customWidth="1"/>
    <col min="35" max="35" width="12.7109375" style="164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2" customWidth="1"/>
    <col min="46" max="16384" width="11.42578125" style="162"/>
  </cols>
  <sheetData>
    <row r="1" spans="1:43" s="161" customFormat="1" ht="21" customHeight="1" x14ac:dyDescent="0.45">
      <c r="A1" s="2"/>
      <c r="B1" s="2"/>
      <c r="C1" s="2"/>
      <c r="D1" s="2"/>
      <c r="E1" s="3"/>
      <c r="F1" s="101"/>
      <c r="G1" s="906" t="s">
        <v>0</v>
      </c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155"/>
      <c r="AB1" s="155"/>
      <c r="AC1" s="155"/>
      <c r="AD1" s="155"/>
      <c r="AE1" s="155"/>
      <c r="AF1" s="155"/>
      <c r="AG1" s="155"/>
      <c r="AH1" s="201"/>
      <c r="AI1" s="202"/>
      <c r="AJ1" s="56"/>
      <c r="AK1" s="136"/>
      <c r="AL1" s="136"/>
      <c r="AM1" s="56"/>
      <c r="AN1" s="2"/>
      <c r="AO1" s="2"/>
      <c r="AP1" s="2"/>
      <c r="AQ1" s="56"/>
    </row>
    <row r="2" spans="1:43" s="161" customFormat="1" ht="28.5" x14ac:dyDescent="0.45">
      <c r="A2" s="2"/>
      <c r="B2" s="2"/>
      <c r="C2" s="2"/>
      <c r="D2" s="2"/>
      <c r="E2" s="3"/>
      <c r="F2" s="101"/>
      <c r="G2" s="907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7" t="str">
        <f>+NOMBRE!B7</f>
        <v>ENERO - MAYO 2024</v>
      </c>
      <c r="X2" s="847"/>
      <c r="Y2" s="847"/>
      <c r="Z2" s="847"/>
      <c r="AA2" s="4"/>
      <c r="AB2" s="4"/>
      <c r="AC2" s="4"/>
      <c r="AD2" s="4"/>
      <c r="AE2" s="4"/>
      <c r="AF2" s="4"/>
      <c r="AG2" s="4"/>
      <c r="AH2" s="203"/>
      <c r="AI2" s="202"/>
      <c r="AJ2" s="56"/>
      <c r="AK2" s="136"/>
      <c r="AL2" s="136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26" t="s">
        <v>482</v>
      </c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8"/>
      <c r="AA4" s="5"/>
      <c r="AB4" s="5"/>
      <c r="AC4" s="5"/>
      <c r="AD4" s="6"/>
      <c r="AE4" s="5"/>
      <c r="AF4" s="5"/>
      <c r="AG4" s="88" t="s">
        <v>45</v>
      </c>
      <c r="AH4" s="89">
        <v>12</v>
      </c>
      <c r="AI4" s="6"/>
      <c r="AJ4" s="6"/>
      <c r="AK4" s="5"/>
    </row>
    <row r="5" spans="1:43" ht="36" customHeight="1" x14ac:dyDescent="0.25">
      <c r="G5" s="929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1"/>
      <c r="AA5" s="5"/>
      <c r="AB5" s="5"/>
      <c r="AC5" s="5"/>
      <c r="AD5" s="6"/>
      <c r="AE5" s="5"/>
      <c r="AF5" s="5"/>
      <c r="AG5" s="88" t="s">
        <v>46</v>
      </c>
      <c r="AH5" s="89">
        <f>meta3!AB2</f>
        <v>5</v>
      </c>
      <c r="AI5" s="6"/>
      <c r="AJ5" s="5"/>
      <c r="AK5" s="5"/>
    </row>
    <row r="6" spans="1:43" ht="58.5" customHeight="1" thickBot="1" x14ac:dyDescent="0.3">
      <c r="G6" s="167"/>
      <c r="H6" s="937" t="s">
        <v>4</v>
      </c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8"/>
      <c r="U6" s="206" t="s">
        <v>5</v>
      </c>
      <c r="V6" s="932" t="s">
        <v>6</v>
      </c>
      <c r="W6" s="933">
        <f>+NOMBRE!$B$9</f>
        <v>2024</v>
      </c>
      <c r="X6" s="934"/>
      <c r="Y6" s="935" t="s">
        <v>7</v>
      </c>
      <c r="Z6" s="936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43" ht="99.75" thickBot="1" x14ac:dyDescent="0.3">
      <c r="G7" s="609" t="s">
        <v>438</v>
      </c>
      <c r="H7" s="921" t="s">
        <v>447</v>
      </c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1"/>
      <c r="T7" s="922"/>
      <c r="U7" s="174" t="s">
        <v>110</v>
      </c>
      <c r="V7" s="915"/>
      <c r="W7" s="175" t="s">
        <v>11</v>
      </c>
      <c r="X7" s="175" t="s">
        <v>43</v>
      </c>
      <c r="Y7" s="176" t="s">
        <v>13</v>
      </c>
      <c r="Z7" s="14" t="s">
        <v>519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3" ht="18" thickBot="1" x14ac:dyDescent="0.3">
      <c r="G8" s="455"/>
      <c r="H8" s="453" t="s">
        <v>189</v>
      </c>
      <c r="I8" s="453" t="s">
        <v>190</v>
      </c>
      <c r="J8" s="453" t="s">
        <v>191</v>
      </c>
      <c r="K8" s="453" t="s">
        <v>192</v>
      </c>
      <c r="L8" s="453" t="s">
        <v>193</v>
      </c>
      <c r="M8" s="453" t="s">
        <v>194</v>
      </c>
      <c r="N8" s="453" t="s">
        <v>195</v>
      </c>
      <c r="O8" s="453" t="s">
        <v>196</v>
      </c>
      <c r="P8" s="453" t="s">
        <v>428</v>
      </c>
      <c r="Q8" s="453" t="s">
        <v>198</v>
      </c>
      <c r="R8" s="453" t="s">
        <v>199</v>
      </c>
      <c r="S8" s="453" t="s">
        <v>200</v>
      </c>
      <c r="T8" s="506" t="s">
        <v>201</v>
      </c>
      <c r="U8" s="174"/>
      <c r="V8" s="458"/>
      <c r="W8" s="699">
        <f>indicadores!E30</f>
        <v>6</v>
      </c>
      <c r="X8" s="459">
        <f>indicadores!$D$54</f>
        <v>0.24</v>
      </c>
      <c r="Y8" s="460"/>
      <c r="Z8" s="444">
        <v>1.32</v>
      </c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43" s="193" customFormat="1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182">
        <f>REMC!CK6</f>
        <v>1032</v>
      </c>
      <c r="I9" s="182">
        <f>REMC!CL6</f>
        <v>893</v>
      </c>
      <c r="J9" s="182">
        <f>REMC!CM6</f>
        <v>1040</v>
      </c>
      <c r="K9" s="182">
        <f>REMC!CN6</f>
        <v>972</v>
      </c>
      <c r="L9" s="182">
        <f>REMC!CO6</f>
        <v>1028</v>
      </c>
      <c r="M9" s="182">
        <f>REMC!CP6</f>
        <v>0</v>
      </c>
      <c r="N9" s="182">
        <f>REMC!CQ6</f>
        <v>0</v>
      </c>
      <c r="O9" s="182">
        <f>REMC!CR6</f>
        <v>0</v>
      </c>
      <c r="P9" s="182">
        <f>REMC!CS6</f>
        <v>0</v>
      </c>
      <c r="Q9" s="182">
        <f>REMC!CT6</f>
        <v>0</v>
      </c>
      <c r="R9" s="182">
        <f>REMC!CU6</f>
        <v>0</v>
      </c>
      <c r="S9" s="182">
        <f>REMC!CV6</f>
        <v>0</v>
      </c>
      <c r="T9" s="526">
        <f>SUM(H9:S9)</f>
        <v>4965</v>
      </c>
      <c r="U9" s="568">
        <f>meta10a!K9</f>
        <v>2783</v>
      </c>
      <c r="V9" s="530">
        <f>IF(U9=0,0,+T9/U9)</f>
        <v>1.7840459935321595</v>
      </c>
      <c r="W9" s="207">
        <f>$W$8</f>
        <v>6</v>
      </c>
      <c r="X9" s="207">
        <f>+W9*$X$8</f>
        <v>1.44</v>
      </c>
      <c r="Y9" s="110">
        <f t="shared" ref="Y9:Y16" si="0">IF(+V9/X9&gt;1,1,+V9/X9)</f>
        <v>1</v>
      </c>
      <c r="Z9" s="71">
        <f>(+Y9*$Z$8/100)</f>
        <v>1.32E-2</v>
      </c>
      <c r="AA9" s="95">
        <f>$W$16</f>
        <v>6</v>
      </c>
      <c r="AB9" s="95">
        <f>(AF9/AD9)</f>
        <v>1.7840459935321595</v>
      </c>
      <c r="AC9" s="96">
        <f>AB9/AA9</f>
        <v>0.29734099892202659</v>
      </c>
      <c r="AD9" s="97">
        <f>U9</f>
        <v>2783</v>
      </c>
      <c r="AE9" s="98">
        <f>AD9*AA9</f>
        <v>16698</v>
      </c>
      <c r="AF9" s="97">
        <f>T9</f>
        <v>4965</v>
      </c>
      <c r="AG9" s="98">
        <f>AE9/$AH$4</f>
        <v>1391.5</v>
      </c>
      <c r="AH9" s="98">
        <f>AG9*$AH$5</f>
        <v>6957.5</v>
      </c>
      <c r="AI9" s="98">
        <f>T9</f>
        <v>4965</v>
      </c>
      <c r="AJ9" s="99">
        <f>AI9/AH9</f>
        <v>0.71361839741286381</v>
      </c>
      <c r="AK9" s="431">
        <f>(AH9-AI9)*-1</f>
        <v>-1992.5</v>
      </c>
      <c r="AL9" s="183"/>
      <c r="AM9" s="123"/>
      <c r="AN9" s="18"/>
      <c r="AO9" s="6"/>
      <c r="AP9" s="5"/>
      <c r="AQ9" s="57"/>
    </row>
    <row r="10" spans="1:43" s="193" customFormat="1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182">
        <f>REMC!CK7</f>
        <v>623</v>
      </c>
      <c r="I10" s="182">
        <f>REMC!CL7</f>
        <v>534</v>
      </c>
      <c r="J10" s="182">
        <f>REMC!CM7</f>
        <v>805</v>
      </c>
      <c r="K10" s="182">
        <f>REMC!CN7</f>
        <v>742</v>
      </c>
      <c r="L10" s="182">
        <f>REMC!CO7</f>
        <v>904</v>
      </c>
      <c r="M10" s="182">
        <f>REMC!CP7</f>
        <v>0</v>
      </c>
      <c r="N10" s="182">
        <f>REMC!CQ7</f>
        <v>0</v>
      </c>
      <c r="O10" s="182">
        <f>REMC!CR7</f>
        <v>0</v>
      </c>
      <c r="P10" s="182">
        <f>REMC!CS7</f>
        <v>0</v>
      </c>
      <c r="Q10" s="182">
        <f>REMC!CT7</f>
        <v>0</v>
      </c>
      <c r="R10" s="182">
        <f>REMC!CU7</f>
        <v>0</v>
      </c>
      <c r="S10" s="182">
        <f>REMC!CV7</f>
        <v>0</v>
      </c>
      <c r="T10" s="527">
        <f t="shared" ref="T10:T16" si="1">SUM(H10:S10)</f>
        <v>3608</v>
      </c>
      <c r="U10" s="569">
        <f>meta10a!K10</f>
        <v>1360</v>
      </c>
      <c r="V10" s="531">
        <f t="shared" ref="V10:V16" si="2">IF(U10=0,0,+T10/U10)</f>
        <v>2.6529411764705881</v>
      </c>
      <c r="W10" s="208">
        <f t="shared" ref="W10:W16" si="3">$W$8</f>
        <v>6</v>
      </c>
      <c r="X10" s="208">
        <f t="shared" ref="X10:X16" si="4">+W10*$X$8</f>
        <v>1.44</v>
      </c>
      <c r="Y10" s="113">
        <f t="shared" si="0"/>
        <v>1</v>
      </c>
      <c r="Z10" s="71">
        <f t="shared" ref="Z10:Z16" si="5">(+Y10*$Z$8/100)</f>
        <v>1.32E-2</v>
      </c>
      <c r="AA10" s="95">
        <f t="shared" ref="AA10:AA16" si="6">$W$16</f>
        <v>6</v>
      </c>
      <c r="AB10" s="95">
        <f t="shared" ref="AB10:AB16" si="7">(AF10/AD10)</f>
        <v>2.6529411764705881</v>
      </c>
      <c r="AC10" s="96">
        <f t="shared" ref="AC10:AC16" si="8">AB10/AA10</f>
        <v>0.44215686274509802</v>
      </c>
      <c r="AD10" s="97">
        <f t="shared" ref="AD10:AD16" si="9">U10</f>
        <v>1360</v>
      </c>
      <c r="AE10" s="98">
        <f t="shared" ref="AE10:AE16" si="10">AD10*AA10</f>
        <v>8160</v>
      </c>
      <c r="AF10" s="97">
        <f t="shared" ref="AF10:AF16" si="11">T10</f>
        <v>3608</v>
      </c>
      <c r="AG10" s="98">
        <f t="shared" ref="AG10:AG16" si="12">AE10/$AH$4</f>
        <v>680</v>
      </c>
      <c r="AH10" s="98">
        <f t="shared" ref="AH10:AH16" si="13">AG10*$AH$5</f>
        <v>3400</v>
      </c>
      <c r="AI10" s="98">
        <f t="shared" ref="AI10:AI16" si="14">T10</f>
        <v>3608</v>
      </c>
      <c r="AJ10" s="99">
        <f t="shared" ref="AJ10:AJ16" si="15">AI10/AH10</f>
        <v>1.0611764705882354</v>
      </c>
      <c r="AK10" s="431">
        <f t="shared" ref="AK10:AK16" si="16">(AH10-AI10)*-1</f>
        <v>208</v>
      </c>
      <c r="AL10" s="183"/>
      <c r="AM10" s="123"/>
      <c r="AN10" s="18"/>
      <c r="AO10" s="6"/>
      <c r="AP10" s="5"/>
      <c r="AQ10" s="57"/>
    </row>
    <row r="11" spans="1:43" s="193" customFormat="1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79">
        <f>REMC!CK8</f>
        <v>583</v>
      </c>
      <c r="I11" s="79">
        <f>REMC!CL8</f>
        <v>305</v>
      </c>
      <c r="J11" s="79">
        <f>REMC!CM8</f>
        <v>474</v>
      </c>
      <c r="K11" s="79">
        <f>REMC!CN8</f>
        <v>466</v>
      </c>
      <c r="L11" s="79">
        <f>REMC!CO8</f>
        <v>449</v>
      </c>
      <c r="M11" s="79">
        <f>REMC!CP8</f>
        <v>0</v>
      </c>
      <c r="N11" s="79">
        <f>REMC!CQ8</f>
        <v>0</v>
      </c>
      <c r="O11" s="79">
        <f>REMC!CR8</f>
        <v>0</v>
      </c>
      <c r="P11" s="79">
        <f>REMC!CS8</f>
        <v>0</v>
      </c>
      <c r="Q11" s="79">
        <f>REMC!CT8</f>
        <v>0</v>
      </c>
      <c r="R11" s="79">
        <f>REMC!CU8</f>
        <v>0</v>
      </c>
      <c r="S11" s="79">
        <f>REMC!CV8</f>
        <v>0</v>
      </c>
      <c r="T11" s="528">
        <f t="shared" si="1"/>
        <v>2277</v>
      </c>
      <c r="U11" s="432">
        <f>meta10a!K11</f>
        <v>1021</v>
      </c>
      <c r="V11" s="531">
        <f t="shared" si="2"/>
        <v>2.2301665034280118</v>
      </c>
      <c r="W11" s="208">
        <f t="shared" si="3"/>
        <v>6</v>
      </c>
      <c r="X11" s="208">
        <f t="shared" si="4"/>
        <v>1.44</v>
      </c>
      <c r="Y11" s="113">
        <f t="shared" si="0"/>
        <v>1</v>
      </c>
      <c r="Z11" s="71">
        <f t="shared" si="5"/>
        <v>1.32E-2</v>
      </c>
      <c r="AA11" s="95">
        <f t="shared" si="6"/>
        <v>6</v>
      </c>
      <c r="AB11" s="95">
        <f t="shared" si="7"/>
        <v>2.2301665034280118</v>
      </c>
      <c r="AC11" s="96">
        <f t="shared" si="8"/>
        <v>0.37169441723800195</v>
      </c>
      <c r="AD11" s="97">
        <f t="shared" si="9"/>
        <v>1021</v>
      </c>
      <c r="AE11" s="98">
        <f t="shared" si="10"/>
        <v>6126</v>
      </c>
      <c r="AF11" s="97">
        <f t="shared" si="11"/>
        <v>2277</v>
      </c>
      <c r="AG11" s="98">
        <f t="shared" si="12"/>
        <v>510.5</v>
      </c>
      <c r="AH11" s="98">
        <f t="shared" si="13"/>
        <v>2552.5</v>
      </c>
      <c r="AI11" s="98">
        <f t="shared" si="14"/>
        <v>2277</v>
      </c>
      <c r="AJ11" s="99">
        <f t="shared" si="15"/>
        <v>0.89206660137120475</v>
      </c>
      <c r="AK11" s="431">
        <f t="shared" si="16"/>
        <v>-275.5</v>
      </c>
      <c r="AL11" s="183"/>
      <c r="AM11" s="123"/>
      <c r="AN11" s="18"/>
      <c r="AO11" s="6"/>
      <c r="AP11" s="5"/>
      <c r="AQ11" s="57"/>
    </row>
    <row r="12" spans="1:43" s="193" customFormat="1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73">
        <f>REMC!CK9</f>
        <v>385</v>
      </c>
      <c r="I12" s="73">
        <f>REMC!CL9</f>
        <v>389</v>
      </c>
      <c r="J12" s="73">
        <f>REMC!CM9</f>
        <v>561</v>
      </c>
      <c r="K12" s="73">
        <f>REMC!CN9</f>
        <v>579</v>
      </c>
      <c r="L12" s="73">
        <f>REMC!CO9</f>
        <v>459</v>
      </c>
      <c r="M12" s="73">
        <f>REMC!CP9</f>
        <v>0</v>
      </c>
      <c r="N12" s="73">
        <f>REMC!CQ9</f>
        <v>0</v>
      </c>
      <c r="O12" s="73">
        <f>REMC!CR9</f>
        <v>0</v>
      </c>
      <c r="P12" s="73">
        <f>REMC!CS9</f>
        <v>0</v>
      </c>
      <c r="Q12" s="73">
        <f>REMC!CT9</f>
        <v>0</v>
      </c>
      <c r="R12" s="73">
        <f>REMC!CU9</f>
        <v>0</v>
      </c>
      <c r="S12" s="73">
        <f>REMC!CV9</f>
        <v>0</v>
      </c>
      <c r="T12" s="529">
        <f t="shared" si="1"/>
        <v>2373</v>
      </c>
      <c r="U12" s="432">
        <f>meta10a!K12</f>
        <v>921</v>
      </c>
      <c r="V12" s="531">
        <f t="shared" si="2"/>
        <v>2.5765472312703581</v>
      </c>
      <c r="W12" s="208">
        <f t="shared" si="3"/>
        <v>6</v>
      </c>
      <c r="X12" s="208">
        <f t="shared" si="4"/>
        <v>1.44</v>
      </c>
      <c r="Y12" s="113">
        <f t="shared" si="0"/>
        <v>1</v>
      </c>
      <c r="Z12" s="71">
        <f t="shared" si="5"/>
        <v>1.32E-2</v>
      </c>
      <c r="AA12" s="95">
        <f t="shared" si="6"/>
        <v>6</v>
      </c>
      <c r="AB12" s="95">
        <f t="shared" si="7"/>
        <v>2.5765472312703581</v>
      </c>
      <c r="AC12" s="96">
        <f t="shared" si="8"/>
        <v>0.42942453854505969</v>
      </c>
      <c r="AD12" s="97">
        <f t="shared" si="9"/>
        <v>921</v>
      </c>
      <c r="AE12" s="98">
        <f t="shared" si="10"/>
        <v>5526</v>
      </c>
      <c r="AF12" s="97">
        <f t="shared" si="11"/>
        <v>2373</v>
      </c>
      <c r="AG12" s="98">
        <f t="shared" si="12"/>
        <v>460.5</v>
      </c>
      <c r="AH12" s="98">
        <f t="shared" si="13"/>
        <v>2302.5</v>
      </c>
      <c r="AI12" s="98">
        <f t="shared" si="14"/>
        <v>2373</v>
      </c>
      <c r="AJ12" s="99">
        <f t="shared" si="15"/>
        <v>1.0306188925081434</v>
      </c>
      <c r="AK12" s="431">
        <f t="shared" si="16"/>
        <v>70.5</v>
      </c>
      <c r="AL12" s="183"/>
      <c r="AM12" s="123"/>
      <c r="AN12" s="18"/>
      <c r="AO12" s="6"/>
      <c r="AP12" s="5"/>
      <c r="AQ12" s="57"/>
    </row>
    <row r="13" spans="1:43" s="193" customFormat="1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73">
        <f>REMC!CK10</f>
        <v>577</v>
      </c>
      <c r="I13" s="73">
        <f>REMC!CL10</f>
        <v>335</v>
      </c>
      <c r="J13" s="73">
        <f>REMC!CM10</f>
        <v>430</v>
      </c>
      <c r="K13" s="73">
        <f>REMC!CN10</f>
        <v>565</v>
      </c>
      <c r="L13" s="73">
        <f>REMC!CO10</f>
        <v>520</v>
      </c>
      <c r="M13" s="73">
        <f>REMC!CP10</f>
        <v>0</v>
      </c>
      <c r="N13" s="73">
        <f>REMC!CQ10</f>
        <v>0</v>
      </c>
      <c r="O13" s="73">
        <f>REMC!CR10</f>
        <v>0</v>
      </c>
      <c r="P13" s="73">
        <f>REMC!CS10</f>
        <v>0</v>
      </c>
      <c r="Q13" s="73">
        <f>REMC!CT10</f>
        <v>0</v>
      </c>
      <c r="R13" s="73">
        <f>REMC!CU10</f>
        <v>0</v>
      </c>
      <c r="S13" s="73">
        <f>REMC!CV10</f>
        <v>0</v>
      </c>
      <c r="T13" s="529">
        <f t="shared" si="1"/>
        <v>2427</v>
      </c>
      <c r="U13" s="432">
        <f>meta10a!K13</f>
        <v>1939</v>
      </c>
      <c r="V13" s="531">
        <f t="shared" si="2"/>
        <v>1.2516761217122228</v>
      </c>
      <c r="W13" s="208">
        <f t="shared" si="3"/>
        <v>6</v>
      </c>
      <c r="X13" s="208">
        <f t="shared" si="4"/>
        <v>1.44</v>
      </c>
      <c r="Y13" s="113">
        <f t="shared" si="0"/>
        <v>0.86921952896682142</v>
      </c>
      <c r="Z13" s="71">
        <f t="shared" si="5"/>
        <v>1.1473697782362043E-2</v>
      </c>
      <c r="AA13" s="95">
        <f t="shared" si="6"/>
        <v>6</v>
      </c>
      <c r="AB13" s="95">
        <f t="shared" si="7"/>
        <v>1.2516761217122228</v>
      </c>
      <c r="AC13" s="96">
        <f t="shared" si="8"/>
        <v>0.20861268695203714</v>
      </c>
      <c r="AD13" s="97">
        <f t="shared" si="9"/>
        <v>1939</v>
      </c>
      <c r="AE13" s="98">
        <f t="shared" si="10"/>
        <v>11634</v>
      </c>
      <c r="AF13" s="97">
        <f t="shared" si="11"/>
        <v>2427</v>
      </c>
      <c r="AG13" s="98">
        <f t="shared" si="12"/>
        <v>969.5</v>
      </c>
      <c r="AH13" s="98">
        <f t="shared" si="13"/>
        <v>4847.5</v>
      </c>
      <c r="AI13" s="98">
        <f t="shared" si="14"/>
        <v>2427</v>
      </c>
      <c r="AJ13" s="99">
        <f t="shared" si="15"/>
        <v>0.50067044868488908</v>
      </c>
      <c r="AK13" s="431">
        <f t="shared" si="16"/>
        <v>-2420.5</v>
      </c>
      <c r="AL13" s="183"/>
      <c r="AM13" s="123"/>
      <c r="AN13" s="18"/>
      <c r="AO13" s="6"/>
      <c r="AP13" s="5"/>
      <c r="AQ13" s="57"/>
    </row>
    <row r="14" spans="1:43" s="193" customFormat="1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73">
        <f>REMC!CK11</f>
        <v>23</v>
      </c>
      <c r="I14" s="73">
        <f>REMC!CL11</f>
        <v>8</v>
      </c>
      <c r="J14" s="73">
        <f>REMC!CM11</f>
        <v>26</v>
      </c>
      <c r="K14" s="73">
        <f>REMC!CN11</f>
        <v>17</v>
      </c>
      <c r="L14" s="73">
        <f>REMC!CO11</f>
        <v>18</v>
      </c>
      <c r="M14" s="73">
        <f>REMC!CP11</f>
        <v>0</v>
      </c>
      <c r="N14" s="73">
        <f>REMC!CQ11</f>
        <v>0</v>
      </c>
      <c r="O14" s="73">
        <f>REMC!CR11</f>
        <v>0</v>
      </c>
      <c r="P14" s="73">
        <f>REMC!CS11</f>
        <v>0</v>
      </c>
      <c r="Q14" s="73">
        <f>REMC!CT11</f>
        <v>0</v>
      </c>
      <c r="R14" s="73">
        <f>REMC!CU11</f>
        <v>0</v>
      </c>
      <c r="S14" s="73">
        <f>REMC!CV11</f>
        <v>0</v>
      </c>
      <c r="T14" s="529">
        <f t="shared" si="1"/>
        <v>92</v>
      </c>
      <c r="U14" s="570">
        <f>meta10a!K14</f>
        <v>22</v>
      </c>
      <c r="V14" s="531">
        <f t="shared" si="2"/>
        <v>4.1818181818181817</v>
      </c>
      <c r="W14" s="208">
        <f t="shared" si="3"/>
        <v>6</v>
      </c>
      <c r="X14" s="208">
        <f t="shared" si="4"/>
        <v>1.44</v>
      </c>
      <c r="Y14" s="113">
        <f t="shared" si="0"/>
        <v>1</v>
      </c>
      <c r="Z14" s="71">
        <f t="shared" si="5"/>
        <v>1.32E-2</v>
      </c>
      <c r="AA14" s="95">
        <f t="shared" si="6"/>
        <v>6</v>
      </c>
      <c r="AB14" s="95">
        <f t="shared" si="7"/>
        <v>4.1818181818181817</v>
      </c>
      <c r="AC14" s="96">
        <f t="shared" si="8"/>
        <v>0.69696969696969691</v>
      </c>
      <c r="AD14" s="97">
        <f t="shared" si="9"/>
        <v>22</v>
      </c>
      <c r="AE14" s="98">
        <f t="shared" si="10"/>
        <v>132</v>
      </c>
      <c r="AF14" s="97">
        <f t="shared" si="11"/>
        <v>92</v>
      </c>
      <c r="AG14" s="98">
        <f t="shared" si="12"/>
        <v>11</v>
      </c>
      <c r="AH14" s="98">
        <f t="shared" si="13"/>
        <v>55</v>
      </c>
      <c r="AI14" s="98">
        <f t="shared" si="14"/>
        <v>92</v>
      </c>
      <c r="AJ14" s="99">
        <f t="shared" si="15"/>
        <v>1.6727272727272726</v>
      </c>
      <c r="AK14" s="431">
        <f t="shared" si="16"/>
        <v>37</v>
      </c>
      <c r="AL14" s="183"/>
      <c r="AM14" s="123"/>
      <c r="AN14" s="18"/>
      <c r="AO14" s="6"/>
      <c r="AP14" s="5"/>
      <c r="AQ14" s="57"/>
    </row>
    <row r="15" spans="1:43" s="193" customFormat="1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114">
        <f>REMC!CK12</f>
        <v>189</v>
      </c>
      <c r="I15" s="114">
        <f>REMC!CL12</f>
        <v>67</v>
      </c>
      <c r="J15" s="114">
        <f>REMC!CM12</f>
        <v>163</v>
      </c>
      <c r="K15" s="114">
        <f>REMC!CN12</f>
        <v>181</v>
      </c>
      <c r="L15" s="114">
        <f>REMC!CO12</f>
        <v>150</v>
      </c>
      <c r="M15" s="114">
        <f>REMC!CP12</f>
        <v>0</v>
      </c>
      <c r="N15" s="114">
        <f>REMC!CQ12</f>
        <v>0</v>
      </c>
      <c r="O15" s="114">
        <f>REMC!CR12</f>
        <v>0</v>
      </c>
      <c r="P15" s="114">
        <f>REMC!CS12</f>
        <v>0</v>
      </c>
      <c r="Q15" s="114">
        <f>REMC!CT12</f>
        <v>0</v>
      </c>
      <c r="R15" s="114">
        <f>REMC!CU12</f>
        <v>0</v>
      </c>
      <c r="S15" s="114">
        <f>REMC!CV12</f>
        <v>0</v>
      </c>
      <c r="T15" s="559">
        <f t="shared" si="1"/>
        <v>750</v>
      </c>
      <c r="U15" s="570">
        <f>meta10a!K15</f>
        <v>498</v>
      </c>
      <c r="V15" s="531">
        <f t="shared" si="2"/>
        <v>1.5060240963855422</v>
      </c>
      <c r="W15" s="208">
        <f t="shared" si="3"/>
        <v>6</v>
      </c>
      <c r="X15" s="208">
        <f t="shared" si="4"/>
        <v>1.44</v>
      </c>
      <c r="Y15" s="116">
        <f t="shared" si="0"/>
        <v>1</v>
      </c>
      <c r="Z15" s="71">
        <f t="shared" si="5"/>
        <v>1.32E-2</v>
      </c>
      <c r="AA15" s="560">
        <f t="shared" si="6"/>
        <v>6</v>
      </c>
      <c r="AB15" s="560">
        <f t="shared" si="7"/>
        <v>1.5060240963855422</v>
      </c>
      <c r="AC15" s="561">
        <f t="shared" si="8"/>
        <v>0.25100401606425704</v>
      </c>
      <c r="AD15" s="97">
        <f t="shared" si="9"/>
        <v>498</v>
      </c>
      <c r="AE15" s="98">
        <f t="shared" si="10"/>
        <v>2988</v>
      </c>
      <c r="AF15" s="97">
        <f t="shared" si="11"/>
        <v>750</v>
      </c>
      <c r="AG15" s="98">
        <f t="shared" si="12"/>
        <v>249</v>
      </c>
      <c r="AH15" s="98">
        <f t="shared" si="13"/>
        <v>1245</v>
      </c>
      <c r="AI15" s="98">
        <f t="shared" si="14"/>
        <v>750</v>
      </c>
      <c r="AJ15" s="547">
        <f t="shared" si="15"/>
        <v>0.60240963855421692</v>
      </c>
      <c r="AK15" s="431">
        <f t="shared" si="16"/>
        <v>-495</v>
      </c>
      <c r="AL15" s="183"/>
      <c r="AM15" s="123"/>
      <c r="AN15" s="18"/>
      <c r="AO15" s="6"/>
      <c r="AP15" s="5"/>
      <c r="AQ15" s="57"/>
    </row>
    <row r="16" spans="1:43" s="193" customFormat="1" ht="15" customHeight="1" thickBot="1" x14ac:dyDescent="0.35">
      <c r="A16"/>
      <c r="B16"/>
      <c r="C16" s="64"/>
      <c r="D16" s="65"/>
      <c r="E16" s="66"/>
      <c r="F16" s="106"/>
      <c r="G16" s="562" t="s">
        <v>15</v>
      </c>
      <c r="H16" s="85">
        <f>SUM(H9:H15)</f>
        <v>3412</v>
      </c>
      <c r="I16" s="85">
        <f t="shared" ref="I16:S16" si="17">SUM(I9:I15)</f>
        <v>2531</v>
      </c>
      <c r="J16" s="85">
        <f t="shared" si="17"/>
        <v>3499</v>
      </c>
      <c r="K16" s="85">
        <f t="shared" si="17"/>
        <v>3522</v>
      </c>
      <c r="L16" s="85">
        <f t="shared" si="17"/>
        <v>3528</v>
      </c>
      <c r="M16" s="85">
        <f t="shared" si="17"/>
        <v>0</v>
      </c>
      <c r="N16" s="85">
        <f t="shared" si="17"/>
        <v>0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63">
        <f t="shared" si="1"/>
        <v>16492</v>
      </c>
      <c r="U16" s="564">
        <f>SUM(U9:U15)</f>
        <v>8544</v>
      </c>
      <c r="V16" s="212">
        <f t="shared" si="2"/>
        <v>1.9302434456928839</v>
      </c>
      <c r="W16" s="565">
        <f t="shared" si="3"/>
        <v>6</v>
      </c>
      <c r="X16" s="565">
        <f t="shared" si="4"/>
        <v>1.44</v>
      </c>
      <c r="Y16" s="513">
        <f t="shared" si="0"/>
        <v>1</v>
      </c>
      <c r="Z16" s="71">
        <f t="shared" si="5"/>
        <v>1.32E-2</v>
      </c>
      <c r="AA16" s="566">
        <f t="shared" si="6"/>
        <v>6</v>
      </c>
      <c r="AB16" s="566">
        <f t="shared" si="7"/>
        <v>1.9302434456928839</v>
      </c>
      <c r="AC16" s="567">
        <f t="shared" si="8"/>
        <v>0.32170724094881398</v>
      </c>
      <c r="AD16" s="550">
        <f t="shared" si="9"/>
        <v>8544</v>
      </c>
      <c r="AE16" s="551">
        <f t="shared" si="10"/>
        <v>51264</v>
      </c>
      <c r="AF16" s="550">
        <f t="shared" si="11"/>
        <v>16492</v>
      </c>
      <c r="AG16" s="98">
        <f t="shared" si="12"/>
        <v>4272</v>
      </c>
      <c r="AH16" s="551">
        <f t="shared" si="13"/>
        <v>21360</v>
      </c>
      <c r="AI16" s="551">
        <f t="shared" si="14"/>
        <v>16492</v>
      </c>
      <c r="AJ16" s="552">
        <f t="shared" si="15"/>
        <v>0.77209737827715352</v>
      </c>
      <c r="AK16" s="431">
        <f t="shared" si="16"/>
        <v>-4868</v>
      </c>
      <c r="AL16" s="183"/>
      <c r="AM16" s="123"/>
      <c r="AN16" s="18"/>
      <c r="AO16" s="6"/>
      <c r="AP16" s="5"/>
      <c r="AQ16" s="57"/>
    </row>
    <row r="17" spans="1:43" s="193" customFormat="1" x14ac:dyDescent="0.25">
      <c r="A17" s="5"/>
      <c r="B17" s="5"/>
      <c r="C17" s="5"/>
      <c r="D17" s="5"/>
      <c r="E17" s="6"/>
      <c r="F17" s="103"/>
      <c r="V17" s="191"/>
      <c r="W17" s="210"/>
      <c r="X17" s="211"/>
      <c r="Z17" s="196"/>
      <c r="AA17" s="196"/>
      <c r="AB17" s="196"/>
      <c r="AC17" s="196"/>
      <c r="AD17" s="196"/>
      <c r="AE17" s="196"/>
      <c r="AF17" s="196"/>
      <c r="AG17" s="196"/>
      <c r="AH17" s="209"/>
      <c r="AI17" s="196"/>
      <c r="AJ17" s="57"/>
      <c r="AK17" s="18"/>
      <c r="AL17" s="18"/>
      <c r="AM17" s="57"/>
      <c r="AN17" s="5"/>
      <c r="AO17" s="5"/>
      <c r="AP17" s="5"/>
      <c r="AQ17" s="57"/>
    </row>
    <row r="18" spans="1:43" s="193" customFormat="1" x14ac:dyDescent="0.25">
      <c r="A18" s="5"/>
      <c r="B18" s="5"/>
      <c r="C18" s="5"/>
      <c r="D18" s="5"/>
      <c r="E18" s="6"/>
      <c r="F18" s="103"/>
      <c r="V18" s="191"/>
      <c r="W18" s="210"/>
      <c r="X18" s="211"/>
      <c r="Z18" s="196"/>
      <c r="AA18" s="196"/>
      <c r="AB18" s="196"/>
      <c r="AC18" s="196"/>
      <c r="AD18" s="196"/>
      <c r="AE18" s="196"/>
      <c r="AF18" s="196"/>
      <c r="AG18" s="196"/>
      <c r="AH18" s="209"/>
      <c r="AI18" s="196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3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3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V4" sqref="V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3"/>
    </row>
    <row r="2" spans="1:25" s="2" customFormat="1" ht="23.25" customHeight="1" x14ac:dyDescent="0.45">
      <c r="E2" s="3"/>
      <c r="F2" s="101"/>
      <c r="G2" s="845" t="s">
        <v>2</v>
      </c>
      <c r="H2" s="846"/>
      <c r="I2" s="846"/>
      <c r="J2" s="846"/>
      <c r="K2" s="847" t="str">
        <f>+NOMBRE!B7</f>
        <v>ENERO - MAYO 2024</v>
      </c>
      <c r="L2" s="847"/>
      <c r="M2" s="847"/>
      <c r="N2" s="847"/>
      <c r="O2" s="3"/>
    </row>
    <row r="3" spans="1:25" ht="60.75" thickBot="1" x14ac:dyDescent="0.3">
      <c r="O3" s="5"/>
      <c r="R3" s="6"/>
      <c r="U3" s="88" t="s">
        <v>45</v>
      </c>
      <c r="V3" s="89">
        <v>12</v>
      </c>
      <c r="W3" s="6"/>
      <c r="X3" s="6"/>
    </row>
    <row r="4" spans="1:25" ht="15" customHeight="1" x14ac:dyDescent="0.25">
      <c r="G4" s="58"/>
      <c r="H4" s="848" t="s">
        <v>481</v>
      </c>
      <c r="I4" s="849"/>
      <c r="J4" s="849"/>
      <c r="K4" s="849"/>
      <c r="L4" s="849"/>
      <c r="M4" s="849"/>
      <c r="N4" s="850"/>
      <c r="O4" s="5"/>
      <c r="R4" s="6"/>
      <c r="U4" s="88" t="s">
        <v>46</v>
      </c>
      <c r="V4" s="89">
        <f>meta3!AB2</f>
        <v>5</v>
      </c>
      <c r="W4" s="6"/>
    </row>
    <row r="5" spans="1:25" ht="23.25" customHeight="1" thickBot="1" x14ac:dyDescent="0.3">
      <c r="G5" s="58"/>
      <c r="H5" s="939"/>
      <c r="I5" s="864"/>
      <c r="J5" s="864"/>
      <c r="K5" s="864"/>
      <c r="L5" s="864"/>
      <c r="M5" s="864"/>
      <c r="N5" s="865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27.75" customHeight="1" thickBot="1" x14ac:dyDescent="0.3">
      <c r="G6" s="59"/>
      <c r="H6" s="60" t="s">
        <v>4</v>
      </c>
      <c r="I6" s="61" t="s">
        <v>5</v>
      </c>
      <c r="J6" s="854" t="s">
        <v>6</v>
      </c>
      <c r="K6" s="856">
        <f>+NOMBRE!$B$9</f>
        <v>2024</v>
      </c>
      <c r="L6" s="857"/>
      <c r="M6" s="858" t="s">
        <v>7</v>
      </c>
      <c r="N6" s="859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79.5" thickBot="1" x14ac:dyDescent="0.3">
      <c r="G7" s="609" t="s">
        <v>438</v>
      </c>
      <c r="H7" s="10" t="s">
        <v>125</v>
      </c>
      <c r="I7" s="11" t="s">
        <v>126</v>
      </c>
      <c r="J7" s="855"/>
      <c r="K7" s="12" t="s">
        <v>11</v>
      </c>
      <c r="L7" s="63" t="s">
        <v>43</v>
      </c>
      <c r="M7" s="14" t="s">
        <v>13</v>
      </c>
      <c r="N7" s="14" t="s">
        <v>82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15" customHeight="1" x14ac:dyDescent="0.3">
      <c r="A8" s="214"/>
      <c r="B8" s="214"/>
      <c r="C8" s="64"/>
      <c r="D8" s="65"/>
      <c r="E8" s="66"/>
      <c r="F8" s="106"/>
      <c r="G8" s="78" t="s">
        <v>15</v>
      </c>
      <c r="H8" s="38">
        <v>46776</v>
      </c>
      <c r="I8" s="39">
        <v>47074.8</v>
      </c>
      <c r="J8" s="40">
        <f t="shared" ref="J8" si="0">IF(I8=0,0,+H8/I8)</f>
        <v>0.9936526549236534</v>
      </c>
      <c r="K8" s="41">
        <v>0.85</v>
      </c>
      <c r="L8" s="42">
        <f t="shared" ref="L8" si="1">+K8*0.6</f>
        <v>0.51</v>
      </c>
      <c r="M8" s="125">
        <f t="shared" ref="M8" si="2">IF(+J8/L8&gt;1,1,+J8/L8)</f>
        <v>1</v>
      </c>
      <c r="N8" s="77">
        <f t="shared" ref="N8" si="3">+M8*5.21/100</f>
        <v>5.21E-2</v>
      </c>
      <c r="O8" s="146">
        <f>K8</f>
        <v>0.85</v>
      </c>
      <c r="P8" s="146">
        <f>(T8/R8)</f>
        <v>0.9936526549236534</v>
      </c>
      <c r="Q8" s="147">
        <f>P8/O8</f>
        <v>1.1690031234395923</v>
      </c>
      <c r="R8" s="97">
        <f>I8</f>
        <v>47074.8</v>
      </c>
      <c r="S8" s="98">
        <f>R8*O8</f>
        <v>40013.58</v>
      </c>
      <c r="T8" s="97">
        <f>H8</f>
        <v>46776</v>
      </c>
      <c r="U8" s="98">
        <f>S8/$V$3</f>
        <v>3334.4650000000001</v>
      </c>
      <c r="V8" s="98">
        <f>U8*V4</f>
        <v>16672.325000000001</v>
      </c>
      <c r="W8" s="98">
        <f>H8</f>
        <v>46776</v>
      </c>
      <c r="X8" s="99">
        <f>W8/V8</f>
        <v>2.8056074962550213</v>
      </c>
      <c r="Y8" s="100">
        <f>V8-W8</f>
        <v>-30103.674999999999</v>
      </c>
    </row>
    <row r="9" spans="1:25" ht="18" customHeight="1" x14ac:dyDescent="0.25">
      <c r="K9" s="57"/>
      <c r="N9" s="57"/>
      <c r="O9" s="122"/>
    </row>
    <row r="10" spans="1:25" ht="17.25" hidden="1" x14ac:dyDescent="0.3">
      <c r="G10" s="16" t="s">
        <v>16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4">+K10*0.6</f>
        <v>0.51</v>
      </c>
      <c r="M10" s="121">
        <f>IF(+J10/L10&gt;1,1,+J10/L10)</f>
        <v>1</v>
      </c>
      <c r="N10" s="71">
        <f t="shared" ref="N10:N13" si="5">+M10*5.21/100</f>
        <v>5.21E-2</v>
      </c>
      <c r="O10" s="122"/>
      <c r="P10" s="123"/>
    </row>
    <row r="11" spans="1:25" ht="17.25" hidden="1" x14ac:dyDescent="0.3">
      <c r="G11" s="19" t="s">
        <v>17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4"/>
        <v>0.51</v>
      </c>
      <c r="M11" s="125">
        <f>IF(+J11/L11&gt;1,1,+J11/L11)</f>
        <v>1</v>
      </c>
      <c r="N11" s="77">
        <f t="shared" si="5"/>
        <v>5.21E-2</v>
      </c>
      <c r="O11" s="122"/>
      <c r="P11" s="123"/>
    </row>
    <row r="12" spans="1:25" ht="17.25" hidden="1" x14ac:dyDescent="0.3">
      <c r="G12" s="28" t="s">
        <v>18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4"/>
        <v>0.51</v>
      </c>
      <c r="M12" s="125">
        <f>IF(+J12/L12&gt;1,1,+J12/L12)</f>
        <v>1</v>
      </c>
      <c r="N12" s="77">
        <f t="shared" si="5"/>
        <v>5.21E-2</v>
      </c>
    </row>
    <row r="13" spans="1:25" ht="18" hidden="1" thickBot="1" x14ac:dyDescent="0.35">
      <c r="G13" s="27" t="s">
        <v>19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4"/>
        <v>0.51</v>
      </c>
      <c r="M13" s="128">
        <f>IF(+J13/L13&gt;1,1,+J13/L13)</f>
        <v>1</v>
      </c>
      <c r="N13" s="84">
        <f t="shared" si="5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20</v>
      </c>
      <c r="H15" s="30">
        <f>SUM(H8:H13)</f>
        <v>83666</v>
      </c>
      <c r="I15" s="215">
        <f>SUM(I8:I13)</f>
        <v>76977.400000000009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00B050"/>
  </sheetPr>
  <dimension ref="A1:AX17"/>
  <sheetViews>
    <sheetView topLeftCell="E4" zoomScale="70" zoomScaleNormal="70" workbookViewId="0">
      <selection activeCell="AL21" sqref="AL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2.140625" style="5" customWidth="1"/>
    <col min="8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  <c r="AC1" s="844"/>
      <c r="AD1" s="844"/>
      <c r="AE1" s="844"/>
      <c r="AF1" s="844"/>
      <c r="AG1" s="844"/>
      <c r="AH1" s="844"/>
      <c r="AI1" s="844"/>
      <c r="AJ1" s="844"/>
      <c r="AK1" s="844"/>
      <c r="AL1" s="844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7" t="str">
        <f>+NOMBRE!B7</f>
        <v>ENERO - MAYO 2024</v>
      </c>
      <c r="AJ2" s="847"/>
      <c r="AK2" s="847"/>
      <c r="AL2" s="847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863" t="s">
        <v>480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50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0" ht="33" customHeight="1" thickBot="1" x14ac:dyDescent="0.3">
      <c r="G5" s="58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 s="853"/>
      <c r="AM5" s="5"/>
      <c r="AN5" s="5"/>
      <c r="AP5" s="6"/>
      <c r="AR5" s="5"/>
      <c r="AS5" s="88" t="s">
        <v>46</v>
      </c>
      <c r="AT5" s="89">
        <f>meta3!AB2</f>
        <v>5</v>
      </c>
      <c r="AU5" s="6"/>
      <c r="AW5" s="5"/>
    </row>
    <row r="6" spans="1:50" ht="22.5" customHeight="1" thickBot="1" x14ac:dyDescent="0.3">
      <c r="G6" s="58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4"/>
      <c r="U6" s="873"/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4"/>
      <c r="AH6" s="854" t="s">
        <v>6</v>
      </c>
      <c r="AI6" s="856">
        <f>+NOMBRE!$B$9</f>
        <v>2024</v>
      </c>
      <c r="AJ6" s="857"/>
      <c r="AK6" s="858" t="s">
        <v>7</v>
      </c>
      <c r="AL6" s="859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0" ht="99.75" thickBot="1" x14ac:dyDescent="0.3">
      <c r="G7" s="609" t="s">
        <v>438</v>
      </c>
      <c r="H7" s="861" t="s">
        <v>446</v>
      </c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2"/>
      <c r="U7" s="861" t="s">
        <v>127</v>
      </c>
      <c r="V7" s="861"/>
      <c r="W7" s="861"/>
      <c r="X7" s="861"/>
      <c r="Y7" s="861"/>
      <c r="Z7" s="861"/>
      <c r="AA7" s="861"/>
      <c r="AB7" s="861"/>
      <c r="AC7" s="861"/>
      <c r="AD7" s="861"/>
      <c r="AE7" s="861"/>
      <c r="AF7" s="861"/>
      <c r="AG7" s="862"/>
      <c r="AH7" s="940"/>
      <c r="AI7" s="12" t="s">
        <v>11</v>
      </c>
      <c r="AJ7" s="12" t="s">
        <v>12</v>
      </c>
      <c r="AK7" s="14" t="s">
        <v>13</v>
      </c>
      <c r="AL7" s="14" t="s">
        <v>520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</row>
    <row r="8" spans="1:50" ht="18" thickBot="1" x14ac:dyDescent="0.3">
      <c r="G8" s="440"/>
      <c r="H8" s="453" t="s">
        <v>189</v>
      </c>
      <c r="I8" s="453" t="s">
        <v>190</v>
      </c>
      <c r="J8" s="453" t="s">
        <v>191</v>
      </c>
      <c r="K8" s="453" t="s">
        <v>192</v>
      </c>
      <c r="L8" s="453" t="s">
        <v>193</v>
      </c>
      <c r="M8" s="453" t="s">
        <v>194</v>
      </c>
      <c r="N8" s="453" t="s">
        <v>195</v>
      </c>
      <c r="O8" s="453" t="s">
        <v>196</v>
      </c>
      <c r="P8" s="453" t="s">
        <v>428</v>
      </c>
      <c r="Q8" s="453" t="s">
        <v>198</v>
      </c>
      <c r="R8" s="453" t="s">
        <v>199</v>
      </c>
      <c r="S8" s="453" t="s">
        <v>200</v>
      </c>
      <c r="T8" s="454" t="s">
        <v>201</v>
      </c>
      <c r="U8" s="453" t="s">
        <v>189</v>
      </c>
      <c r="V8" s="453" t="s">
        <v>190</v>
      </c>
      <c r="W8" s="453" t="s">
        <v>191</v>
      </c>
      <c r="X8" s="453" t="s">
        <v>192</v>
      </c>
      <c r="Y8" s="453" t="s">
        <v>193</v>
      </c>
      <c r="Z8" s="453" t="s">
        <v>194</v>
      </c>
      <c r="AA8" s="453" t="s">
        <v>195</v>
      </c>
      <c r="AB8" s="453" t="s">
        <v>196</v>
      </c>
      <c r="AC8" s="453" t="s">
        <v>428</v>
      </c>
      <c r="AD8" s="453" t="s">
        <v>198</v>
      </c>
      <c r="AE8" s="453" t="s">
        <v>199</v>
      </c>
      <c r="AF8" s="453" t="s">
        <v>200</v>
      </c>
      <c r="AG8" s="454" t="s">
        <v>201</v>
      </c>
      <c r="AH8" s="652"/>
      <c r="AI8" s="656">
        <f>indicadores!E35</f>
        <v>0.90710000000000002</v>
      </c>
      <c r="AJ8" s="445">
        <v>1</v>
      </c>
      <c r="AK8" s="119"/>
      <c r="AL8" s="444">
        <v>6.59</v>
      </c>
      <c r="AM8" s="94" t="s">
        <v>68</v>
      </c>
      <c r="AN8" s="94" t="s">
        <v>69</v>
      </c>
      <c r="AO8" s="94" t="s">
        <v>70</v>
      </c>
      <c r="AP8" s="94" t="s">
        <v>71</v>
      </c>
      <c r="AQ8" s="94" t="s">
        <v>72</v>
      </c>
      <c r="AR8" s="94" t="s">
        <v>73</v>
      </c>
      <c r="AS8" s="94" t="s">
        <v>74</v>
      </c>
      <c r="AT8" s="94" t="s">
        <v>75</v>
      </c>
      <c r="AU8" s="94" t="s">
        <v>76</v>
      </c>
      <c r="AV8" s="94" t="s">
        <v>77</v>
      </c>
      <c r="AW8" s="94" t="s">
        <v>78</v>
      </c>
    </row>
    <row r="9" spans="1:50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33">
        <f>REMA!AZ6</f>
        <v>15</v>
      </c>
      <c r="I9" s="33">
        <f>REMA!BA6</f>
        <v>28</v>
      </c>
      <c r="J9" s="33">
        <f>REMA!BB6</f>
        <v>18</v>
      </c>
      <c r="K9" s="33">
        <f>REMA!BC6</f>
        <v>25</v>
      </c>
      <c r="L9" s="33">
        <f>REMA!BD6</f>
        <v>19</v>
      </c>
      <c r="M9" s="33">
        <f>REMA!BE6</f>
        <v>0</v>
      </c>
      <c r="N9" s="33">
        <f>REMA!BF6</f>
        <v>0</v>
      </c>
      <c r="O9" s="33">
        <f>REMA!BG6</f>
        <v>0</v>
      </c>
      <c r="P9" s="33">
        <f>REMA!BH6</f>
        <v>0</v>
      </c>
      <c r="Q9" s="33">
        <f>REMA!BI6</f>
        <v>0</v>
      </c>
      <c r="R9" s="33">
        <f>REMA!BJ6</f>
        <v>0</v>
      </c>
      <c r="S9" s="33">
        <f>REMA!BK6</f>
        <v>0</v>
      </c>
      <c r="T9" s="532">
        <f>SUM(H9:S9)</f>
        <v>105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0</v>
      </c>
      <c r="AA9" s="33">
        <f>REMA!BT6</f>
        <v>0</v>
      </c>
      <c r="AB9" s="33">
        <f>REMA!BU6</f>
        <v>0</v>
      </c>
      <c r="AC9" s="33">
        <f>REMA!BV6</f>
        <v>0</v>
      </c>
      <c r="AD9" s="33">
        <f>REMA!BW6</f>
        <v>0</v>
      </c>
      <c r="AE9" s="33">
        <f>REMA!BX6</f>
        <v>0</v>
      </c>
      <c r="AF9" s="33">
        <f>REMA!BY6</f>
        <v>0</v>
      </c>
      <c r="AG9" s="553">
        <f>SUM(U9:AF9)</f>
        <v>110</v>
      </c>
      <c r="AH9" s="45">
        <f t="shared" ref="AH9:AH16" si="0">IF(AG9=0,0,+T9/AG9)</f>
        <v>0.95454545454545459</v>
      </c>
      <c r="AI9" s="37">
        <f>AI8</f>
        <v>0.90710000000000002</v>
      </c>
      <c r="AJ9" s="37">
        <f>+AI9*$AJ$8</f>
        <v>0.90710000000000002</v>
      </c>
      <c r="AK9" s="110">
        <f t="shared" ref="AK9:AK16" si="1">IF(+AH9/AJ9&gt;1,1,+AH9/AJ9)</f>
        <v>1</v>
      </c>
      <c r="AL9" s="71">
        <f>+AK9*$AL$8/100</f>
        <v>6.59E-2</v>
      </c>
      <c r="AM9" s="146">
        <f>$AI$9</f>
        <v>0.90710000000000002</v>
      </c>
      <c r="AN9" s="146">
        <f>(AR9/AP9)</f>
        <v>0.95454545454545459</v>
      </c>
      <c r="AO9" s="147">
        <f>AN9/AM9</f>
        <v>1.0523045469578376</v>
      </c>
      <c r="AP9" s="97">
        <f>AG9</f>
        <v>110</v>
      </c>
      <c r="AQ9" s="98">
        <f>AP9*AM9</f>
        <v>99.781000000000006</v>
      </c>
      <c r="AR9" s="97">
        <f t="shared" ref="AR9:AR16" si="2">T9</f>
        <v>105</v>
      </c>
      <c r="AS9" s="98">
        <f>AQ9/$AT$4</f>
        <v>8.3150833333333338</v>
      </c>
      <c r="AT9" s="98">
        <f>AS9*$AT$5</f>
        <v>41.575416666666669</v>
      </c>
      <c r="AU9" s="98">
        <f t="shared" ref="AU9:AU16" si="3">T9</f>
        <v>105</v>
      </c>
      <c r="AV9" s="99">
        <f>AU9/AT9</f>
        <v>2.5255309126988101</v>
      </c>
      <c r="AW9" s="431">
        <f>(AT9-AU9)*-1</f>
        <v>63.424583333333331</v>
      </c>
    </row>
    <row r="10" spans="1:50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38">
        <f>REMA!AZ7</f>
        <v>21</v>
      </c>
      <c r="I10" s="38">
        <f>REMA!BA7</f>
        <v>10</v>
      </c>
      <c r="J10" s="38">
        <f>REMA!BB7</f>
        <v>18</v>
      </c>
      <c r="K10" s="38">
        <f>REMA!BC7</f>
        <v>13</v>
      </c>
      <c r="L10" s="38">
        <f>REMA!BD7</f>
        <v>9</v>
      </c>
      <c r="M10" s="38">
        <f>REMA!BE7</f>
        <v>0</v>
      </c>
      <c r="N10" s="38">
        <f>REMA!BF7</f>
        <v>0</v>
      </c>
      <c r="O10" s="38">
        <f>REMA!BG7</f>
        <v>0</v>
      </c>
      <c r="P10" s="38">
        <f>REMA!BH7</f>
        <v>0</v>
      </c>
      <c r="Q10" s="38">
        <f>REMA!BI7</f>
        <v>0</v>
      </c>
      <c r="R10" s="38">
        <f>REMA!BJ7</f>
        <v>0</v>
      </c>
      <c r="S10" s="38">
        <f>REMA!BK7</f>
        <v>0</v>
      </c>
      <c r="T10" s="533">
        <f t="shared" ref="T10:T15" si="4">SUM(H10:S10)</f>
        <v>71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0</v>
      </c>
      <c r="AA10" s="38">
        <f>REMA!BT7</f>
        <v>0</v>
      </c>
      <c r="AB10" s="38">
        <f>REMA!BU7</f>
        <v>0</v>
      </c>
      <c r="AC10" s="38">
        <f>REMA!BV7</f>
        <v>0</v>
      </c>
      <c r="AD10" s="38">
        <f>REMA!BW7</f>
        <v>0</v>
      </c>
      <c r="AE10" s="38">
        <f>REMA!BX7</f>
        <v>0</v>
      </c>
      <c r="AF10" s="38">
        <f>REMA!BY7</f>
        <v>0</v>
      </c>
      <c r="AG10" s="554">
        <f t="shared" ref="AG10:AG15" si="5">SUM(U10:AF10)</f>
        <v>79</v>
      </c>
      <c r="AH10" s="40">
        <f t="shared" si="0"/>
        <v>0.89873417721518989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3">
        <f t="shared" si="1"/>
        <v>0.99077739743709614</v>
      </c>
      <c r="AL10" s="71">
        <f t="shared" ref="AL10:AL16" si="8">+AK10*$AL$8/100</f>
        <v>6.5292230491104636E-2</v>
      </c>
      <c r="AM10" s="146">
        <f t="shared" ref="AM10:AM16" si="9">$AI$9</f>
        <v>0.90710000000000002</v>
      </c>
      <c r="AN10" s="146">
        <f t="shared" ref="AN10:AN16" si="10">(AR10/AP10)</f>
        <v>0.89873417721518989</v>
      </c>
      <c r="AO10" s="147">
        <f t="shared" ref="AO10:AO16" si="11">AN10/AM10</f>
        <v>0.99077739743709614</v>
      </c>
      <c r="AP10" s="97">
        <f t="shared" ref="AP10:AP16" si="12">AG10</f>
        <v>79</v>
      </c>
      <c r="AQ10" s="98">
        <f t="shared" ref="AQ10:AQ16" si="13">AP10*AM10</f>
        <v>71.660899999999998</v>
      </c>
      <c r="AR10" s="97">
        <f t="shared" si="2"/>
        <v>71</v>
      </c>
      <c r="AS10" s="98">
        <f t="shared" ref="AS10:AS16" si="14">AQ10/$AT$4</f>
        <v>5.9717416666666665</v>
      </c>
      <c r="AT10" s="98">
        <f t="shared" ref="AT10:AT16" si="15">AS10*$AT$5</f>
        <v>29.858708333333333</v>
      </c>
      <c r="AU10" s="98">
        <f t="shared" si="3"/>
        <v>71</v>
      </c>
      <c r="AV10" s="99">
        <f t="shared" ref="AV10:AV16" si="16">AU10/AT10</f>
        <v>2.3778657538490307</v>
      </c>
      <c r="AW10" s="431">
        <f t="shared" ref="AW10:AW16" si="17">(AT10-AU10)*-1</f>
        <v>41.141291666666667</v>
      </c>
    </row>
    <row r="11" spans="1:50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38">
        <f>REMA!AZ8</f>
        <v>21</v>
      </c>
      <c r="I11" s="38">
        <f>REMA!BA8</f>
        <v>13</v>
      </c>
      <c r="J11" s="38">
        <f>REMA!BB8</f>
        <v>16</v>
      </c>
      <c r="K11" s="38">
        <f>REMA!BC8</f>
        <v>7</v>
      </c>
      <c r="L11" s="38">
        <f>REMA!BD8</f>
        <v>9</v>
      </c>
      <c r="M11" s="38">
        <f>REMA!BE8</f>
        <v>0</v>
      </c>
      <c r="N11" s="38">
        <f>REMA!BF8</f>
        <v>0</v>
      </c>
      <c r="O11" s="38">
        <f>REMA!BG8</f>
        <v>0</v>
      </c>
      <c r="P11" s="38">
        <f>REMA!BH8</f>
        <v>0</v>
      </c>
      <c r="Q11" s="38">
        <f>REMA!BI8</f>
        <v>0</v>
      </c>
      <c r="R11" s="38">
        <f>REMA!BJ8</f>
        <v>0</v>
      </c>
      <c r="S11" s="38">
        <f>REMA!BK8</f>
        <v>0</v>
      </c>
      <c r="T11" s="533">
        <f t="shared" si="4"/>
        <v>66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0</v>
      </c>
      <c r="AA11" s="38">
        <f>REMA!BT8</f>
        <v>0</v>
      </c>
      <c r="AB11" s="38">
        <f>REMA!BU8</f>
        <v>0</v>
      </c>
      <c r="AC11" s="38">
        <f>REMA!BV8</f>
        <v>0</v>
      </c>
      <c r="AD11" s="38">
        <f>REMA!BW8</f>
        <v>0</v>
      </c>
      <c r="AE11" s="38">
        <f>REMA!BX8</f>
        <v>0</v>
      </c>
      <c r="AF11" s="38">
        <f>REMA!BY8</f>
        <v>0</v>
      </c>
      <c r="AG11" s="554">
        <f t="shared" si="5"/>
        <v>78</v>
      </c>
      <c r="AH11" s="40">
        <f t="shared" si="0"/>
        <v>0.84615384615384615</v>
      </c>
      <c r="AI11" s="42">
        <f t="shared" si="6"/>
        <v>0.90710000000000002</v>
      </c>
      <c r="AJ11" s="42">
        <f t="shared" si="7"/>
        <v>0.90710000000000002</v>
      </c>
      <c r="AK11" s="113">
        <f t="shared" si="1"/>
        <v>0.93281208924467662</v>
      </c>
      <c r="AL11" s="71">
        <f t="shared" si="8"/>
        <v>6.1472316681224187E-2</v>
      </c>
      <c r="AM11" s="146">
        <f t="shared" si="9"/>
        <v>0.90710000000000002</v>
      </c>
      <c r="AN11" s="146">
        <f t="shared" si="10"/>
        <v>0.84615384615384615</v>
      </c>
      <c r="AO11" s="147">
        <f t="shared" si="11"/>
        <v>0.93281208924467662</v>
      </c>
      <c r="AP11" s="97">
        <f t="shared" si="12"/>
        <v>78</v>
      </c>
      <c r="AQ11" s="98">
        <f t="shared" si="13"/>
        <v>70.753799999999998</v>
      </c>
      <c r="AR11" s="97">
        <f t="shared" si="2"/>
        <v>66</v>
      </c>
      <c r="AS11" s="98">
        <f t="shared" si="14"/>
        <v>5.8961499999999996</v>
      </c>
      <c r="AT11" s="98">
        <f t="shared" si="15"/>
        <v>29.480749999999997</v>
      </c>
      <c r="AU11" s="98">
        <f t="shared" si="3"/>
        <v>66</v>
      </c>
      <c r="AV11" s="99">
        <f t="shared" si="16"/>
        <v>2.2387490141872242</v>
      </c>
      <c r="AW11" s="431">
        <f t="shared" si="17"/>
        <v>36.51925</v>
      </c>
    </row>
    <row r="12" spans="1:50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38">
        <f>REMA!AZ9</f>
        <v>19</v>
      </c>
      <c r="I12" s="38">
        <f>REMA!BA9</f>
        <v>11</v>
      </c>
      <c r="J12" s="38">
        <f>REMA!BB9</f>
        <v>11</v>
      </c>
      <c r="K12" s="38">
        <f>REMA!BC9</f>
        <v>16</v>
      </c>
      <c r="L12" s="38">
        <f>REMA!BD9</f>
        <v>9</v>
      </c>
      <c r="M12" s="38">
        <f>REMA!BE9</f>
        <v>0</v>
      </c>
      <c r="N12" s="38">
        <f>REMA!BF9</f>
        <v>0</v>
      </c>
      <c r="O12" s="38">
        <f>REMA!BG9</f>
        <v>0</v>
      </c>
      <c r="P12" s="38">
        <f>REMA!BH9</f>
        <v>0</v>
      </c>
      <c r="Q12" s="38">
        <f>REMA!BI9</f>
        <v>0</v>
      </c>
      <c r="R12" s="38">
        <f>REMA!BJ9</f>
        <v>0</v>
      </c>
      <c r="S12" s="38">
        <f>REMA!BK9</f>
        <v>0</v>
      </c>
      <c r="T12" s="533">
        <f t="shared" si="4"/>
        <v>66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0</v>
      </c>
      <c r="AA12" s="38">
        <f>REMA!BT9</f>
        <v>0</v>
      </c>
      <c r="AB12" s="38">
        <f>REMA!BU9</f>
        <v>0</v>
      </c>
      <c r="AC12" s="38">
        <f>REMA!BV9</f>
        <v>0</v>
      </c>
      <c r="AD12" s="38">
        <f>REMA!BW9</f>
        <v>0</v>
      </c>
      <c r="AE12" s="38">
        <f>REMA!BX9</f>
        <v>0</v>
      </c>
      <c r="AF12" s="38">
        <f>REMA!BY9</f>
        <v>0</v>
      </c>
      <c r="AG12" s="554">
        <f t="shared" si="5"/>
        <v>74</v>
      </c>
      <c r="AH12" s="40">
        <f t="shared" si="0"/>
        <v>0.89189189189189189</v>
      </c>
      <c r="AI12" s="42">
        <f t="shared" si="6"/>
        <v>0.90710000000000002</v>
      </c>
      <c r="AJ12" s="42">
        <f t="shared" si="7"/>
        <v>0.90710000000000002</v>
      </c>
      <c r="AK12" s="113">
        <f t="shared" si="1"/>
        <v>0.98323436433898348</v>
      </c>
      <c r="AL12" s="71">
        <f t="shared" si="8"/>
        <v>6.4795144609939015E-2</v>
      </c>
      <c r="AM12" s="146">
        <f t="shared" si="9"/>
        <v>0.90710000000000002</v>
      </c>
      <c r="AN12" s="146">
        <f t="shared" si="10"/>
        <v>0.89189189189189189</v>
      </c>
      <c r="AO12" s="147">
        <f t="shared" si="11"/>
        <v>0.98323436433898348</v>
      </c>
      <c r="AP12" s="97">
        <f t="shared" si="12"/>
        <v>74</v>
      </c>
      <c r="AQ12" s="98">
        <f t="shared" si="13"/>
        <v>67.125399999999999</v>
      </c>
      <c r="AR12" s="97">
        <f t="shared" si="2"/>
        <v>66</v>
      </c>
      <c r="AS12" s="98">
        <f t="shared" si="14"/>
        <v>5.5937833333333336</v>
      </c>
      <c r="AT12" s="98">
        <f t="shared" si="15"/>
        <v>27.968916666666669</v>
      </c>
      <c r="AU12" s="98">
        <f t="shared" si="3"/>
        <v>66</v>
      </c>
      <c r="AV12" s="99">
        <f t="shared" si="16"/>
        <v>2.3597624744135599</v>
      </c>
      <c r="AW12" s="431">
        <f t="shared" si="17"/>
        <v>38.031083333333328</v>
      </c>
    </row>
    <row r="13" spans="1:50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38">
        <f>REMA!AZ10</f>
        <v>16</v>
      </c>
      <c r="I13" s="38">
        <f>REMA!BA10</f>
        <v>17</v>
      </c>
      <c r="J13" s="38">
        <f>REMA!BB10</f>
        <v>11</v>
      </c>
      <c r="K13" s="38">
        <f>REMA!BC10</f>
        <v>5</v>
      </c>
      <c r="L13" s="38">
        <f>REMA!BD10</f>
        <v>6</v>
      </c>
      <c r="M13" s="38">
        <f>REMA!BE10</f>
        <v>0</v>
      </c>
      <c r="N13" s="38">
        <f>REMA!BF10</f>
        <v>0</v>
      </c>
      <c r="O13" s="38">
        <f>REMA!BG10</f>
        <v>0</v>
      </c>
      <c r="P13" s="38">
        <f>REMA!BH10</f>
        <v>0</v>
      </c>
      <c r="Q13" s="38">
        <f>REMA!BI10</f>
        <v>0</v>
      </c>
      <c r="R13" s="38">
        <f>REMA!BJ10</f>
        <v>0</v>
      </c>
      <c r="S13" s="38">
        <f>REMA!BK10</f>
        <v>0</v>
      </c>
      <c r="T13" s="533">
        <f t="shared" si="4"/>
        <v>55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0</v>
      </c>
      <c r="AA13" s="38">
        <f>REMA!BT10</f>
        <v>0</v>
      </c>
      <c r="AB13" s="38">
        <f>REMA!BU10</f>
        <v>0</v>
      </c>
      <c r="AC13" s="38">
        <f>REMA!BV10</f>
        <v>0</v>
      </c>
      <c r="AD13" s="38">
        <f>REMA!BW10</f>
        <v>0</v>
      </c>
      <c r="AE13" s="38">
        <f>REMA!BX10</f>
        <v>0</v>
      </c>
      <c r="AF13" s="38">
        <f>REMA!BY10</f>
        <v>0</v>
      </c>
      <c r="AG13" s="554">
        <f t="shared" si="5"/>
        <v>65</v>
      </c>
      <c r="AH13" s="40">
        <f t="shared" si="0"/>
        <v>0.84615384615384615</v>
      </c>
      <c r="AI13" s="42">
        <f t="shared" si="6"/>
        <v>0.90710000000000002</v>
      </c>
      <c r="AJ13" s="42">
        <f t="shared" si="7"/>
        <v>0.90710000000000002</v>
      </c>
      <c r="AK13" s="113">
        <f t="shared" si="1"/>
        <v>0.93281208924467662</v>
      </c>
      <c r="AL13" s="71">
        <f t="shared" si="8"/>
        <v>6.1472316681224187E-2</v>
      </c>
      <c r="AM13" s="146">
        <f t="shared" si="9"/>
        <v>0.90710000000000002</v>
      </c>
      <c r="AN13" s="146">
        <f t="shared" si="10"/>
        <v>0.84615384615384615</v>
      </c>
      <c r="AO13" s="147">
        <f t="shared" si="11"/>
        <v>0.93281208924467662</v>
      </c>
      <c r="AP13" s="97">
        <f t="shared" si="12"/>
        <v>65</v>
      </c>
      <c r="AQ13" s="98">
        <f t="shared" si="13"/>
        <v>58.961500000000001</v>
      </c>
      <c r="AR13" s="97">
        <f t="shared" si="2"/>
        <v>55</v>
      </c>
      <c r="AS13" s="98">
        <f t="shared" si="14"/>
        <v>4.9134583333333337</v>
      </c>
      <c r="AT13" s="98">
        <f t="shared" si="15"/>
        <v>24.567291666666669</v>
      </c>
      <c r="AU13" s="98">
        <f t="shared" si="3"/>
        <v>55</v>
      </c>
      <c r="AV13" s="99">
        <f t="shared" si="16"/>
        <v>2.2387490141872237</v>
      </c>
      <c r="AW13" s="431">
        <f t="shared" si="17"/>
        <v>30.432708333333331</v>
      </c>
    </row>
    <row r="14" spans="1:50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38">
        <f>REMA!AZ11</f>
        <v>0</v>
      </c>
      <c r="I14" s="38">
        <f>REMA!BA11</f>
        <v>1</v>
      </c>
      <c r="J14" s="38">
        <f>REMA!BB11</f>
        <v>0</v>
      </c>
      <c r="K14" s="38">
        <f>REMA!BC11</f>
        <v>0</v>
      </c>
      <c r="L14" s="38">
        <f>REMA!BD11</f>
        <v>0</v>
      </c>
      <c r="M14" s="38">
        <f>REMA!BE11</f>
        <v>0</v>
      </c>
      <c r="N14" s="38">
        <f>REMA!BF11</f>
        <v>0</v>
      </c>
      <c r="O14" s="38">
        <f>REMA!BG11</f>
        <v>0</v>
      </c>
      <c r="P14" s="38">
        <f>REMA!BH11</f>
        <v>0</v>
      </c>
      <c r="Q14" s="38">
        <f>REMA!BI11</f>
        <v>0</v>
      </c>
      <c r="R14" s="38">
        <f>REMA!BJ11</f>
        <v>0</v>
      </c>
      <c r="S14" s="38">
        <f>REMA!BK11</f>
        <v>0</v>
      </c>
      <c r="T14" s="533">
        <f t="shared" si="4"/>
        <v>1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54">
        <f t="shared" si="5"/>
        <v>1</v>
      </c>
      <c r="AH14" s="40">
        <f t="shared" si="0"/>
        <v>1</v>
      </c>
      <c r="AI14" s="42">
        <f t="shared" si="6"/>
        <v>0.90710000000000002</v>
      </c>
      <c r="AJ14" s="42">
        <f t="shared" si="7"/>
        <v>0.90710000000000002</v>
      </c>
      <c r="AK14" s="113">
        <f t="shared" si="1"/>
        <v>1</v>
      </c>
      <c r="AL14" s="71">
        <f t="shared" si="8"/>
        <v>6.59E-2</v>
      </c>
      <c r="AM14" s="146">
        <f t="shared" si="9"/>
        <v>0.90710000000000002</v>
      </c>
      <c r="AN14" s="146">
        <f t="shared" si="10"/>
        <v>1</v>
      </c>
      <c r="AO14" s="147">
        <f t="shared" si="11"/>
        <v>1.1024142872891634</v>
      </c>
      <c r="AP14" s="97">
        <f t="shared" si="12"/>
        <v>1</v>
      </c>
      <c r="AQ14" s="98">
        <f t="shared" si="13"/>
        <v>0.90710000000000002</v>
      </c>
      <c r="AR14" s="97">
        <f t="shared" si="2"/>
        <v>1</v>
      </c>
      <c r="AS14" s="98">
        <f t="shared" si="14"/>
        <v>7.5591666666666668E-2</v>
      </c>
      <c r="AT14" s="98">
        <f t="shared" si="15"/>
        <v>0.37795833333333334</v>
      </c>
      <c r="AU14" s="98">
        <f t="shared" si="3"/>
        <v>1</v>
      </c>
      <c r="AV14" s="99">
        <f t="shared" si="16"/>
        <v>2.6457942894939919</v>
      </c>
      <c r="AW14" s="431">
        <f t="shared" si="17"/>
        <v>0.6220416666666666</v>
      </c>
    </row>
    <row r="15" spans="1:50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52">
        <f>REMA!AZ12</f>
        <v>2</v>
      </c>
      <c r="I15" s="52">
        <f>REMA!BA12</f>
        <v>2</v>
      </c>
      <c r="J15" s="52">
        <f>REMA!BB12</f>
        <v>0</v>
      </c>
      <c r="K15" s="52">
        <f>REMA!BC12</f>
        <v>0</v>
      </c>
      <c r="L15" s="52">
        <f>REMA!BD12</f>
        <v>2</v>
      </c>
      <c r="M15" s="52">
        <f>REMA!BE12</f>
        <v>0</v>
      </c>
      <c r="N15" s="52">
        <f>REMA!BF12</f>
        <v>0</v>
      </c>
      <c r="O15" s="52">
        <f>REMA!BG12</f>
        <v>0</v>
      </c>
      <c r="P15" s="52">
        <f>REMA!BH12</f>
        <v>0</v>
      </c>
      <c r="Q15" s="52">
        <f>REMA!BI12</f>
        <v>0</v>
      </c>
      <c r="R15" s="52">
        <f>REMA!BJ12</f>
        <v>0</v>
      </c>
      <c r="S15" s="52">
        <f>REMA!BK12</f>
        <v>0</v>
      </c>
      <c r="T15" s="555">
        <f t="shared" si="4"/>
        <v>6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0</v>
      </c>
      <c r="AB15" s="52">
        <f>REMA!BU12</f>
        <v>0</v>
      </c>
      <c r="AC15" s="52">
        <f>REMA!BV12</f>
        <v>0</v>
      </c>
      <c r="AD15" s="52">
        <f>REMA!BW12</f>
        <v>0</v>
      </c>
      <c r="AE15" s="52">
        <f>REMA!BX12</f>
        <v>0</v>
      </c>
      <c r="AF15" s="52">
        <f>REMA!BY12</f>
        <v>0</v>
      </c>
      <c r="AG15" s="556">
        <f t="shared" si="5"/>
        <v>11</v>
      </c>
      <c r="AH15" s="54">
        <f t="shared" si="0"/>
        <v>0.54545454545454541</v>
      </c>
      <c r="AI15" s="55">
        <f t="shared" si="6"/>
        <v>0.90710000000000002</v>
      </c>
      <c r="AJ15" s="55">
        <f t="shared" si="7"/>
        <v>0.90710000000000002</v>
      </c>
      <c r="AK15" s="116">
        <f t="shared" si="1"/>
        <v>0.60131688397590721</v>
      </c>
      <c r="AL15" s="71">
        <f t="shared" si="8"/>
        <v>3.9626782654012288E-2</v>
      </c>
      <c r="AM15" s="545">
        <f t="shared" si="9"/>
        <v>0.90710000000000002</v>
      </c>
      <c r="AN15" s="545">
        <f t="shared" si="10"/>
        <v>0.54545454545454541</v>
      </c>
      <c r="AO15" s="546">
        <f t="shared" si="11"/>
        <v>0.60131688397590721</v>
      </c>
      <c r="AP15" s="97">
        <f t="shared" si="12"/>
        <v>11</v>
      </c>
      <c r="AQ15" s="98">
        <f t="shared" si="13"/>
        <v>9.9780999999999995</v>
      </c>
      <c r="AR15" s="97">
        <f t="shared" si="2"/>
        <v>6</v>
      </c>
      <c r="AS15" s="98">
        <f t="shared" si="14"/>
        <v>0.83150833333333329</v>
      </c>
      <c r="AT15" s="98">
        <f t="shared" si="15"/>
        <v>4.1575416666666669</v>
      </c>
      <c r="AU15" s="98">
        <f t="shared" si="3"/>
        <v>6</v>
      </c>
      <c r="AV15" s="547">
        <f t="shared" si="16"/>
        <v>1.4431605215421772</v>
      </c>
      <c r="AW15" s="431">
        <f t="shared" si="17"/>
        <v>1.8424583333333331</v>
      </c>
    </row>
    <row r="16" spans="1:50" ht="15" customHeight="1" thickBot="1" x14ac:dyDescent="0.35">
      <c r="A16"/>
      <c r="B16"/>
      <c r="C16" s="64"/>
      <c r="D16" s="65"/>
      <c r="E16" s="66"/>
      <c r="F16" s="106"/>
      <c r="G16" s="544" t="s">
        <v>15</v>
      </c>
      <c r="H16" s="30">
        <f>SUM(H9:H15)</f>
        <v>94</v>
      </c>
      <c r="I16" s="30">
        <f t="shared" ref="I16:T16" si="18">SUM(I9:I15)</f>
        <v>82</v>
      </c>
      <c r="J16" s="30">
        <f t="shared" si="18"/>
        <v>74</v>
      </c>
      <c r="K16" s="30">
        <f t="shared" si="18"/>
        <v>66</v>
      </c>
      <c r="L16" s="30">
        <f t="shared" si="18"/>
        <v>54</v>
      </c>
      <c r="M16" s="30">
        <f t="shared" si="18"/>
        <v>0</v>
      </c>
      <c r="N16" s="30">
        <f t="shared" si="18"/>
        <v>0</v>
      </c>
      <c r="O16" s="30">
        <f t="shared" si="18"/>
        <v>0</v>
      </c>
      <c r="P16" s="30">
        <f t="shared" si="18"/>
        <v>0</v>
      </c>
      <c r="Q16" s="30">
        <f t="shared" si="18"/>
        <v>0</v>
      </c>
      <c r="R16" s="30">
        <f t="shared" si="18"/>
        <v>0</v>
      </c>
      <c r="S16" s="30">
        <f t="shared" si="18"/>
        <v>0</v>
      </c>
      <c r="T16" s="557">
        <f t="shared" si="18"/>
        <v>370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0</v>
      </c>
      <c r="AA16" s="30">
        <f t="shared" si="19"/>
        <v>0</v>
      </c>
      <c r="AB16" s="30">
        <f t="shared" si="19"/>
        <v>0</v>
      </c>
      <c r="AC16" s="30">
        <f t="shared" si="19"/>
        <v>0</v>
      </c>
      <c r="AD16" s="30">
        <f t="shared" si="19"/>
        <v>0</v>
      </c>
      <c r="AE16" s="30">
        <f t="shared" si="19"/>
        <v>0</v>
      </c>
      <c r="AF16" s="30">
        <f t="shared" si="19"/>
        <v>0</v>
      </c>
      <c r="AG16" s="558">
        <f t="shared" si="19"/>
        <v>418</v>
      </c>
      <c r="AH16" s="481">
        <f t="shared" si="0"/>
        <v>0.88516746411483249</v>
      </c>
      <c r="AI16" s="512">
        <f t="shared" si="6"/>
        <v>0.90710000000000002</v>
      </c>
      <c r="AJ16" s="512">
        <f t="shared" si="7"/>
        <v>0.90710000000000002</v>
      </c>
      <c r="AK16" s="513">
        <f t="shared" si="1"/>
        <v>0.97582125908370909</v>
      </c>
      <c r="AL16" s="71">
        <f t="shared" si="8"/>
        <v>6.4306620973616432E-2</v>
      </c>
      <c r="AM16" s="548">
        <f t="shared" si="9"/>
        <v>0.90710000000000002</v>
      </c>
      <c r="AN16" s="548">
        <f t="shared" si="10"/>
        <v>0.88516746411483249</v>
      </c>
      <c r="AO16" s="549">
        <f t="shared" si="11"/>
        <v>0.97582125908370909</v>
      </c>
      <c r="AP16" s="550">
        <f t="shared" si="12"/>
        <v>418</v>
      </c>
      <c r="AQ16" s="551">
        <f t="shared" si="13"/>
        <v>379.1678</v>
      </c>
      <c r="AR16" s="550">
        <f t="shared" si="2"/>
        <v>370</v>
      </c>
      <c r="AS16" s="98">
        <f t="shared" si="14"/>
        <v>31.597316666666668</v>
      </c>
      <c r="AT16" s="551">
        <f t="shared" si="15"/>
        <v>157.98658333333333</v>
      </c>
      <c r="AU16" s="551">
        <f t="shared" si="3"/>
        <v>370</v>
      </c>
      <c r="AV16" s="552">
        <f t="shared" si="16"/>
        <v>2.341971021800902</v>
      </c>
      <c r="AW16" s="431">
        <f t="shared" si="17"/>
        <v>212.01341666666667</v>
      </c>
    </row>
    <row r="17" spans="3:40" x14ac:dyDescent="0.25">
      <c r="C17" s="64"/>
      <c r="D17" s="65"/>
      <c r="AI17" s="57"/>
      <c r="AM17" s="122"/>
      <c r="AN17" s="122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Y45"/>
  <sheetViews>
    <sheetView topLeftCell="B1" zoomScale="85" zoomScaleNormal="85" workbookViewId="0">
      <selection activeCell="H4" sqref="H4:N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25.140625" style="5" customWidth="1"/>
    <col min="9" max="9" width="22.285156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7" customWidth="1"/>
    <col min="15" max="15" width="12.7109375" style="57" customWidth="1"/>
    <col min="16" max="25" width="12.7109375" style="5" customWidth="1"/>
    <col min="26" max="16384" width="11.42578125" style="5"/>
  </cols>
  <sheetData>
    <row r="1" spans="1:25" s="2" customFormat="1" ht="21.75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56"/>
    </row>
    <row r="2" spans="1:25" s="2" customFormat="1" ht="63" customHeight="1" x14ac:dyDescent="0.45">
      <c r="E2" s="3"/>
      <c r="F2" s="101"/>
      <c r="G2" s="845" t="s">
        <v>2</v>
      </c>
      <c r="H2" s="846"/>
      <c r="I2" s="846"/>
      <c r="J2" s="846"/>
      <c r="K2" s="847" t="str">
        <f>+NOMBRE!B7</f>
        <v>ENERO - MAYO 2024</v>
      </c>
      <c r="L2" s="847"/>
      <c r="M2" s="847"/>
      <c r="N2" s="847"/>
    </row>
    <row r="3" spans="1:25" ht="39.75" customHeight="1" thickBot="1" x14ac:dyDescent="0.3">
      <c r="O3" s="5"/>
      <c r="R3" s="6"/>
      <c r="U3" s="88" t="s">
        <v>45</v>
      </c>
      <c r="V3" s="89">
        <v>12</v>
      </c>
      <c r="W3" s="6"/>
      <c r="X3" s="6"/>
    </row>
    <row r="4" spans="1:25" ht="45" customHeight="1" x14ac:dyDescent="0.25">
      <c r="G4" s="58"/>
      <c r="H4" s="848" t="s">
        <v>521</v>
      </c>
      <c r="I4" s="849"/>
      <c r="J4" s="849"/>
      <c r="K4" s="849"/>
      <c r="L4" s="849"/>
      <c r="M4" s="849"/>
      <c r="N4" s="850"/>
      <c r="O4" s="5"/>
      <c r="R4" s="6"/>
      <c r="U4" s="88" t="s">
        <v>46</v>
      </c>
      <c r="V4" s="89">
        <f>meta3!AB2</f>
        <v>5</v>
      </c>
      <c r="W4" s="6"/>
    </row>
    <row r="5" spans="1:25" ht="45" customHeight="1" thickBot="1" x14ac:dyDescent="0.3">
      <c r="G5" s="58"/>
      <c r="H5" s="939"/>
      <c r="I5" s="864"/>
      <c r="J5" s="864"/>
      <c r="K5" s="864"/>
      <c r="L5" s="864"/>
      <c r="M5" s="864"/>
      <c r="N5" s="865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79.5" customHeight="1" thickBot="1" x14ac:dyDescent="0.3">
      <c r="G6" s="59"/>
      <c r="H6" s="60" t="s">
        <v>4</v>
      </c>
      <c r="I6" s="61" t="s">
        <v>5</v>
      </c>
      <c r="J6" s="854" t="s">
        <v>6</v>
      </c>
      <c r="K6" s="856">
        <f>+NOMBRE!$B$9</f>
        <v>2024</v>
      </c>
      <c r="L6" s="857"/>
      <c r="M6" s="858" t="s">
        <v>7</v>
      </c>
      <c r="N6" s="859"/>
      <c r="O6" s="535" t="s">
        <v>57</v>
      </c>
      <c r="P6" s="535" t="s">
        <v>58</v>
      </c>
      <c r="Q6" s="535" t="s">
        <v>59</v>
      </c>
      <c r="R6" s="536" t="s">
        <v>60</v>
      </c>
      <c r="S6" s="536" t="s">
        <v>61</v>
      </c>
      <c r="T6" s="536" t="s">
        <v>62</v>
      </c>
      <c r="U6" s="536" t="s">
        <v>63</v>
      </c>
      <c r="V6" s="536" t="s">
        <v>64</v>
      </c>
      <c r="W6" s="536" t="s">
        <v>65</v>
      </c>
      <c r="X6" s="537" t="s">
        <v>66</v>
      </c>
      <c r="Y6" s="537" t="s">
        <v>67</v>
      </c>
    </row>
    <row r="7" spans="1:25" ht="66" customHeight="1" thickBot="1" x14ac:dyDescent="0.3">
      <c r="G7" s="609" t="s">
        <v>438</v>
      </c>
      <c r="H7" s="10" t="s">
        <v>128</v>
      </c>
      <c r="I7" s="11" t="s">
        <v>129</v>
      </c>
      <c r="J7" s="855"/>
      <c r="K7" s="12" t="s">
        <v>11</v>
      </c>
      <c r="L7" s="12" t="s">
        <v>513</v>
      </c>
      <c r="M7" s="216" t="s">
        <v>13</v>
      </c>
      <c r="N7" s="14" t="s">
        <v>520</v>
      </c>
      <c r="O7" s="538" t="s">
        <v>68</v>
      </c>
      <c r="P7" s="538" t="s">
        <v>69</v>
      </c>
      <c r="Q7" s="538" t="s">
        <v>70</v>
      </c>
      <c r="R7" s="538" t="s">
        <v>71</v>
      </c>
      <c r="S7" s="538" t="s">
        <v>72</v>
      </c>
      <c r="T7" s="538" t="s">
        <v>73</v>
      </c>
      <c r="U7" s="538" t="s">
        <v>74</v>
      </c>
      <c r="V7" s="538" t="s">
        <v>75</v>
      </c>
      <c r="W7" s="538" t="s">
        <v>76</v>
      </c>
      <c r="X7" s="538" t="s">
        <v>77</v>
      </c>
      <c r="Y7" s="538" t="s">
        <v>78</v>
      </c>
    </row>
    <row r="8" spans="1:25" ht="16.5" thickBot="1" x14ac:dyDescent="0.3">
      <c r="G8" s="672"/>
      <c r="H8" s="441"/>
      <c r="I8" s="442"/>
      <c r="J8" s="673"/>
      <c r="K8" s="496">
        <f>indicadores!$E$36</f>
        <v>0.2344</v>
      </c>
      <c r="L8" s="674">
        <f>indicadores!$D$54</f>
        <v>0.24</v>
      </c>
      <c r="M8" s="444"/>
      <c r="N8" s="444">
        <v>6.59</v>
      </c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</row>
    <row r="9" spans="1:25" ht="1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69">
        <f>REMP!L6</f>
        <v>171</v>
      </c>
      <c r="I9" s="69">
        <f>Poblacion2024!AB6</f>
        <v>1829.8980000000001</v>
      </c>
      <c r="J9" s="35">
        <f t="shared" ref="J9:J16" si="0">IF(I9=0,0,+H9/I9)</f>
        <v>9.3447831518478075E-2</v>
      </c>
      <c r="K9" s="37">
        <f>K8</f>
        <v>0.2344</v>
      </c>
      <c r="L9" s="37">
        <f>+K9*$L$8</f>
        <v>5.6256E-2</v>
      </c>
      <c r="M9" s="110">
        <f t="shared" ref="M9:M16" si="1">IF(+J9/L9&gt;1,1,+J9/L9)</f>
        <v>1</v>
      </c>
      <c r="N9" s="71">
        <f>+M9*$N$8/100</f>
        <v>6.59E-2</v>
      </c>
      <c r="O9" s="146">
        <f>K9</f>
        <v>0.2344</v>
      </c>
      <c r="P9" s="146">
        <f>(T9/R9)</f>
        <v>9.3447831518478075E-2</v>
      </c>
      <c r="Q9" s="147">
        <f>P9/O9</f>
        <v>0.39866822320169826</v>
      </c>
      <c r="R9" s="97">
        <f>I9</f>
        <v>1829.8980000000001</v>
      </c>
      <c r="S9" s="98">
        <f>R9*O9</f>
        <v>428.92809120000004</v>
      </c>
      <c r="T9" s="97">
        <f>H9</f>
        <v>171</v>
      </c>
      <c r="U9" s="98">
        <f>S9/$V$3</f>
        <v>35.744007600000003</v>
      </c>
      <c r="V9" s="98">
        <f>U9*$V$4</f>
        <v>178.72003800000002</v>
      </c>
      <c r="W9" s="98">
        <f>H9</f>
        <v>171</v>
      </c>
      <c r="X9" s="99">
        <f>W9/V9</f>
        <v>0.95680373568407584</v>
      </c>
      <c r="Y9" s="431">
        <f>(V9-W9)*-1</f>
        <v>-7.7200380000000166</v>
      </c>
    </row>
    <row r="10" spans="1:25" ht="1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74">
        <f>REMP!L7</f>
        <v>449</v>
      </c>
      <c r="I10" s="74">
        <f>Poblacion2024!AB7</f>
        <v>1565</v>
      </c>
      <c r="J10" s="40">
        <f t="shared" si="0"/>
        <v>0.28690095846645369</v>
      </c>
      <c r="K10" s="42">
        <f t="shared" ref="K10:K16" si="2">K9</f>
        <v>0.2344</v>
      </c>
      <c r="L10" s="42">
        <f t="shared" ref="L10:L15" si="3">+K10*$L$8</f>
        <v>5.6256E-2</v>
      </c>
      <c r="M10" s="113">
        <f t="shared" si="1"/>
        <v>1</v>
      </c>
      <c r="N10" s="71">
        <f t="shared" ref="N10:N16" si="4">+M10*$N$8/100</f>
        <v>6.59E-2</v>
      </c>
      <c r="O10" s="146">
        <f t="shared" ref="O10:O16" si="5">K10</f>
        <v>0.2344</v>
      </c>
      <c r="P10" s="146">
        <f t="shared" ref="P10:P16" si="6">(T10/R10)</f>
        <v>0.28690095846645369</v>
      </c>
      <c r="Q10" s="147">
        <f t="shared" ref="Q10:Q16" si="7">P10/O10</f>
        <v>1.2239801982357239</v>
      </c>
      <c r="R10" s="97">
        <f t="shared" ref="R10:R16" si="8">I10</f>
        <v>1565</v>
      </c>
      <c r="S10" s="98">
        <f t="shared" ref="S10:S16" si="9">R10*O10</f>
        <v>366.83600000000001</v>
      </c>
      <c r="T10" s="97">
        <f t="shared" ref="T10:T16" si="10">H10</f>
        <v>449</v>
      </c>
      <c r="U10" s="98">
        <f t="shared" ref="U10:U16" si="11">S10/$V$3</f>
        <v>30.569666666666667</v>
      </c>
      <c r="V10" s="98">
        <f t="shared" ref="V10:V16" si="12">U10*$V$4</f>
        <v>152.84833333333333</v>
      </c>
      <c r="W10" s="98">
        <f t="shared" ref="W10:W16" si="13">H10</f>
        <v>449</v>
      </c>
      <c r="X10" s="99">
        <f t="shared" ref="X10:X16" si="14">W10/V10</f>
        <v>2.9375524757657372</v>
      </c>
      <c r="Y10" s="431">
        <f t="shared" ref="Y10:Y16" si="15">(V10-W10)*-1</f>
        <v>296.15166666666664</v>
      </c>
    </row>
    <row r="11" spans="1:25" ht="1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74">
        <f>REMP!L8</f>
        <v>164</v>
      </c>
      <c r="I11" s="74">
        <f>Poblacion2024!AB8</f>
        <v>1290</v>
      </c>
      <c r="J11" s="40">
        <f t="shared" si="0"/>
        <v>0.12713178294573643</v>
      </c>
      <c r="K11" s="42">
        <f t="shared" si="2"/>
        <v>0.2344</v>
      </c>
      <c r="L11" s="42">
        <f t="shared" si="3"/>
        <v>5.6256E-2</v>
      </c>
      <c r="M11" s="113">
        <f t="shared" si="1"/>
        <v>1</v>
      </c>
      <c r="N11" s="71">
        <f t="shared" si="4"/>
        <v>6.59E-2</v>
      </c>
      <c r="O11" s="146">
        <f t="shared" si="5"/>
        <v>0.2344</v>
      </c>
      <c r="P11" s="146">
        <f t="shared" si="6"/>
        <v>0.12713178294573643</v>
      </c>
      <c r="Q11" s="147">
        <f t="shared" si="7"/>
        <v>0.54237108765245923</v>
      </c>
      <c r="R11" s="97">
        <f t="shared" si="8"/>
        <v>1290</v>
      </c>
      <c r="S11" s="98">
        <f t="shared" si="9"/>
        <v>302.37599999999998</v>
      </c>
      <c r="T11" s="97">
        <f t="shared" si="10"/>
        <v>164</v>
      </c>
      <c r="U11" s="98">
        <f t="shared" si="11"/>
        <v>25.197999999999997</v>
      </c>
      <c r="V11" s="98">
        <f t="shared" si="12"/>
        <v>125.98999999999998</v>
      </c>
      <c r="W11" s="98">
        <f t="shared" si="13"/>
        <v>164</v>
      </c>
      <c r="X11" s="99">
        <f t="shared" si="14"/>
        <v>1.3016906103659023</v>
      </c>
      <c r="Y11" s="431">
        <f t="shared" si="15"/>
        <v>38.010000000000019</v>
      </c>
    </row>
    <row r="12" spans="1:25" ht="1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74">
        <f>REMP!L9</f>
        <v>235</v>
      </c>
      <c r="I12" s="74">
        <f>Poblacion2024!AB9</f>
        <v>1272.2496000000001</v>
      </c>
      <c r="J12" s="40">
        <f t="shared" si="0"/>
        <v>0.18471218226360611</v>
      </c>
      <c r="K12" s="42">
        <f t="shared" si="2"/>
        <v>0.2344</v>
      </c>
      <c r="L12" s="42">
        <f t="shared" si="3"/>
        <v>5.6256E-2</v>
      </c>
      <c r="M12" s="113">
        <f t="shared" si="1"/>
        <v>1</v>
      </c>
      <c r="N12" s="71">
        <f t="shared" si="4"/>
        <v>6.59E-2</v>
      </c>
      <c r="O12" s="146">
        <f t="shared" si="5"/>
        <v>0.2344</v>
      </c>
      <c r="P12" s="146">
        <f t="shared" si="6"/>
        <v>0.18471218226360611</v>
      </c>
      <c r="Q12" s="147">
        <f t="shared" si="7"/>
        <v>0.78802125539081103</v>
      </c>
      <c r="R12" s="97">
        <f t="shared" si="8"/>
        <v>1272.2496000000001</v>
      </c>
      <c r="S12" s="98">
        <f t="shared" si="9"/>
        <v>298.21530624000002</v>
      </c>
      <c r="T12" s="97">
        <f t="shared" si="10"/>
        <v>235</v>
      </c>
      <c r="U12" s="98">
        <f t="shared" si="11"/>
        <v>24.851275520000002</v>
      </c>
      <c r="V12" s="98">
        <f t="shared" si="12"/>
        <v>124.25637760000001</v>
      </c>
      <c r="W12" s="98">
        <f t="shared" si="13"/>
        <v>235</v>
      </c>
      <c r="X12" s="99">
        <f t="shared" si="14"/>
        <v>1.8912510129379467</v>
      </c>
      <c r="Y12" s="431">
        <f t="shared" si="15"/>
        <v>110.74362239999999</v>
      </c>
    </row>
    <row r="13" spans="1:25" ht="1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74">
        <f>REMP!L10</f>
        <v>489</v>
      </c>
      <c r="I13" s="74">
        <f>Poblacion2024!AB10</f>
        <v>1190</v>
      </c>
      <c r="J13" s="40">
        <f t="shared" si="0"/>
        <v>0.41092436974789914</v>
      </c>
      <c r="K13" s="42">
        <f t="shared" si="2"/>
        <v>0.2344</v>
      </c>
      <c r="L13" s="42">
        <f t="shared" si="3"/>
        <v>5.6256E-2</v>
      </c>
      <c r="M13" s="113">
        <f t="shared" si="1"/>
        <v>1</v>
      </c>
      <c r="N13" s="71">
        <f t="shared" si="4"/>
        <v>6.59E-2</v>
      </c>
      <c r="O13" s="146">
        <f t="shared" si="5"/>
        <v>0.2344</v>
      </c>
      <c r="P13" s="146">
        <f t="shared" si="6"/>
        <v>0.41092436974789914</v>
      </c>
      <c r="Q13" s="147">
        <f t="shared" si="7"/>
        <v>1.7530903146241432</v>
      </c>
      <c r="R13" s="97">
        <f t="shared" si="8"/>
        <v>1190</v>
      </c>
      <c r="S13" s="98">
        <f t="shared" si="9"/>
        <v>278.93599999999998</v>
      </c>
      <c r="T13" s="97">
        <f t="shared" si="10"/>
        <v>489</v>
      </c>
      <c r="U13" s="98">
        <f t="shared" si="11"/>
        <v>23.244666666666664</v>
      </c>
      <c r="V13" s="98">
        <f t="shared" si="12"/>
        <v>116.22333333333331</v>
      </c>
      <c r="W13" s="98">
        <f t="shared" si="13"/>
        <v>489</v>
      </c>
      <c r="X13" s="99">
        <f t="shared" si="14"/>
        <v>4.2074167550979444</v>
      </c>
      <c r="Y13" s="431">
        <f t="shared" si="15"/>
        <v>372.7766666666667</v>
      </c>
    </row>
    <row r="14" spans="1:25" ht="1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74">
        <f>REMP!L11</f>
        <v>0</v>
      </c>
      <c r="I14" s="74">
        <f>Poblacion2024!AB11</f>
        <v>24.101999999999997</v>
      </c>
      <c r="J14" s="40">
        <f t="shared" si="0"/>
        <v>0</v>
      </c>
      <c r="K14" s="42">
        <f t="shared" si="2"/>
        <v>0.2344</v>
      </c>
      <c r="L14" s="42">
        <f t="shared" si="3"/>
        <v>5.6256E-2</v>
      </c>
      <c r="M14" s="113">
        <f t="shared" si="1"/>
        <v>0</v>
      </c>
      <c r="N14" s="71">
        <f t="shared" si="4"/>
        <v>0</v>
      </c>
      <c r="O14" s="146">
        <f t="shared" si="5"/>
        <v>0.2344</v>
      </c>
      <c r="P14" s="146">
        <f t="shared" si="6"/>
        <v>0</v>
      </c>
      <c r="Q14" s="147">
        <f t="shared" si="7"/>
        <v>0</v>
      </c>
      <c r="R14" s="97">
        <f t="shared" si="8"/>
        <v>24.101999999999997</v>
      </c>
      <c r="S14" s="98">
        <f t="shared" si="9"/>
        <v>5.6495087999999996</v>
      </c>
      <c r="T14" s="97">
        <f t="shared" si="10"/>
        <v>0</v>
      </c>
      <c r="U14" s="98">
        <f t="shared" si="11"/>
        <v>0.47079239999999994</v>
      </c>
      <c r="V14" s="98">
        <f t="shared" si="12"/>
        <v>2.3539619999999997</v>
      </c>
      <c r="W14" s="98">
        <f t="shared" si="13"/>
        <v>0</v>
      </c>
      <c r="X14" s="99">
        <f t="shared" si="14"/>
        <v>0</v>
      </c>
      <c r="Y14" s="431">
        <f t="shared" si="15"/>
        <v>-2.3539619999999997</v>
      </c>
    </row>
    <row r="15" spans="1:25" ht="1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74">
        <f>REMP!L12</f>
        <v>115</v>
      </c>
      <c r="I15" s="115">
        <f>Poblacion2024!AB12</f>
        <v>335.75040000000001</v>
      </c>
      <c r="J15" s="54">
        <f t="shared" si="0"/>
        <v>0.34251634547568671</v>
      </c>
      <c r="K15" s="55">
        <f t="shared" si="2"/>
        <v>0.2344</v>
      </c>
      <c r="L15" s="55">
        <f t="shared" si="3"/>
        <v>5.6256E-2</v>
      </c>
      <c r="M15" s="116">
        <f t="shared" si="1"/>
        <v>1</v>
      </c>
      <c r="N15" s="71">
        <f t="shared" si="4"/>
        <v>6.59E-2</v>
      </c>
      <c r="O15" s="545">
        <f t="shared" si="5"/>
        <v>0.2344</v>
      </c>
      <c r="P15" s="545">
        <f t="shared" si="6"/>
        <v>0.34251634547568671</v>
      </c>
      <c r="Q15" s="546">
        <f t="shared" si="7"/>
        <v>1.4612472076607794</v>
      </c>
      <c r="R15" s="97">
        <f t="shared" si="8"/>
        <v>335.75040000000001</v>
      </c>
      <c r="S15" s="98">
        <f t="shared" si="9"/>
        <v>78.699893760000009</v>
      </c>
      <c r="T15" s="97">
        <f t="shared" si="10"/>
        <v>115</v>
      </c>
      <c r="U15" s="98">
        <f t="shared" si="11"/>
        <v>6.5583244800000005</v>
      </c>
      <c r="V15" s="98">
        <f t="shared" si="12"/>
        <v>32.791622400000001</v>
      </c>
      <c r="W15" s="98">
        <f t="shared" si="13"/>
        <v>115</v>
      </c>
      <c r="X15" s="547">
        <f t="shared" si="14"/>
        <v>3.5069932983858707</v>
      </c>
      <c r="Y15" s="431">
        <f t="shared" si="15"/>
        <v>82.208377600000006</v>
      </c>
    </row>
    <row r="16" spans="1:25" ht="15" customHeight="1" thickBot="1" x14ac:dyDescent="0.35">
      <c r="A16" s="214"/>
      <c r="B16" s="214"/>
      <c r="C16" s="64"/>
      <c r="D16" s="65"/>
      <c r="E16" s="66"/>
      <c r="F16" s="106"/>
      <c r="G16" s="544" t="s">
        <v>15</v>
      </c>
      <c r="H16" s="542">
        <f>SUM(H9:H15)</f>
        <v>1623</v>
      </c>
      <c r="I16" s="542">
        <f>SUM(I9:I15)</f>
        <v>7507</v>
      </c>
      <c r="J16" s="481">
        <f t="shared" si="0"/>
        <v>0.21619821499933395</v>
      </c>
      <c r="K16" s="512">
        <f t="shared" si="2"/>
        <v>0.2344</v>
      </c>
      <c r="L16" s="37">
        <f>+K16*$L$8</f>
        <v>5.6256E-2</v>
      </c>
      <c r="M16" s="513">
        <f t="shared" si="1"/>
        <v>1</v>
      </c>
      <c r="N16" s="71">
        <f t="shared" si="4"/>
        <v>6.59E-2</v>
      </c>
      <c r="O16" s="548">
        <f t="shared" si="5"/>
        <v>0.2344</v>
      </c>
      <c r="P16" s="548">
        <f t="shared" si="6"/>
        <v>0.21619821499933395</v>
      </c>
      <c r="Q16" s="549">
        <f t="shared" si="7"/>
        <v>0.92234733361490595</v>
      </c>
      <c r="R16" s="550">
        <f t="shared" si="8"/>
        <v>7507</v>
      </c>
      <c r="S16" s="551">
        <f t="shared" si="9"/>
        <v>1759.6407999999999</v>
      </c>
      <c r="T16" s="550">
        <f t="shared" si="10"/>
        <v>1623</v>
      </c>
      <c r="U16" s="98">
        <f t="shared" si="11"/>
        <v>146.63673333333332</v>
      </c>
      <c r="V16" s="551">
        <f t="shared" si="12"/>
        <v>733.18366666666657</v>
      </c>
      <c r="W16" s="551">
        <f t="shared" si="13"/>
        <v>1623</v>
      </c>
      <c r="X16" s="552">
        <f t="shared" si="14"/>
        <v>2.2136336006757746</v>
      </c>
      <c r="Y16" s="431">
        <f t="shared" si="15"/>
        <v>889.81633333333343</v>
      </c>
    </row>
    <row r="17" spans="7:16" x14ac:dyDescent="0.25">
      <c r="H17" s="64"/>
      <c r="I17" s="64"/>
      <c r="K17" s="57"/>
      <c r="O17" s="122"/>
      <c r="P17" s="122"/>
    </row>
    <row r="29" spans="7:16" x14ac:dyDescent="0.25">
      <c r="G29" s="5" t="s">
        <v>21</v>
      </c>
      <c r="H29" s="15">
        <f>+H11</f>
        <v>164</v>
      </c>
      <c r="I29" s="15">
        <f>+I11</f>
        <v>1290</v>
      </c>
    </row>
    <row r="30" spans="7:16" x14ac:dyDescent="0.25">
      <c r="G30" s="5" t="s">
        <v>22</v>
      </c>
      <c r="H30" s="15" t="e">
        <f>+#REF!</f>
        <v>#REF!</v>
      </c>
      <c r="I30" s="15" t="e">
        <f>+#REF!</f>
        <v>#REF!</v>
      </c>
    </row>
    <row r="31" spans="7:16" x14ac:dyDescent="0.25">
      <c r="G31" s="5" t="s">
        <v>23</v>
      </c>
      <c r="H31" s="15" t="e">
        <f>+#REF!</f>
        <v>#REF!</v>
      </c>
      <c r="I31" s="15" t="e">
        <f>+#REF!</f>
        <v>#REF!</v>
      </c>
    </row>
    <row r="32" spans="7:16" x14ac:dyDescent="0.25">
      <c r="G32" s="5" t="s">
        <v>24</v>
      </c>
      <c r="H32" s="15" t="e">
        <f>+#REF!</f>
        <v>#REF!</v>
      </c>
      <c r="I32" s="15" t="e">
        <f>+#REF!</f>
        <v>#REF!</v>
      </c>
    </row>
    <row r="33" spans="7:9" x14ac:dyDescent="0.25">
      <c r="G33" s="5" t="s">
        <v>25</v>
      </c>
      <c r="H33" s="15">
        <f>+H14</f>
        <v>0</v>
      </c>
      <c r="I33" s="15">
        <f>+I14</f>
        <v>24.101999999999997</v>
      </c>
    </row>
    <row r="34" spans="7:9" x14ac:dyDescent="0.25">
      <c r="G34" s="5" t="s">
        <v>26</v>
      </c>
      <c r="H34" s="15">
        <f>+H9</f>
        <v>171</v>
      </c>
      <c r="I34" s="15">
        <f>+I9</f>
        <v>1829.8980000000001</v>
      </c>
    </row>
    <row r="35" spans="7:9" x14ac:dyDescent="0.25">
      <c r="G35" s="5" t="s">
        <v>27</v>
      </c>
      <c r="H35" s="15" t="e">
        <f>+#REF!</f>
        <v>#REF!</v>
      </c>
      <c r="I35" s="15" t="e">
        <f>+#REF!</f>
        <v>#REF!</v>
      </c>
    </row>
    <row r="36" spans="7:9" x14ac:dyDescent="0.25">
      <c r="G36" s="5" t="s">
        <v>28</v>
      </c>
      <c r="H36" s="15" t="e">
        <f>+#REF!</f>
        <v>#REF!</v>
      </c>
      <c r="I36" s="15" t="e">
        <f>+#REF!</f>
        <v>#REF!</v>
      </c>
    </row>
    <row r="37" spans="7:9" x14ac:dyDescent="0.25">
      <c r="G37" s="5" t="s">
        <v>29</v>
      </c>
      <c r="H37" s="15" t="e">
        <f>+#REF!</f>
        <v>#REF!</v>
      </c>
      <c r="I37" s="15" t="e">
        <f>+#REF!</f>
        <v>#REF!</v>
      </c>
    </row>
    <row r="38" spans="7:9" x14ac:dyDescent="0.25">
      <c r="G38" s="5" t="s">
        <v>30</v>
      </c>
      <c r="H38" s="15" t="e">
        <f>+#REF!</f>
        <v>#REF!</v>
      </c>
      <c r="I38" s="15" t="e">
        <f>+#REF!</f>
        <v>#REF!</v>
      </c>
    </row>
    <row r="39" spans="7:9" x14ac:dyDescent="0.25">
      <c r="G39" s="5" t="s">
        <v>31</v>
      </c>
      <c r="H39" s="15">
        <f>+H10</f>
        <v>449</v>
      </c>
      <c r="I39" s="15">
        <f>+I10</f>
        <v>1565</v>
      </c>
    </row>
    <row r="40" spans="7:9" x14ac:dyDescent="0.25">
      <c r="G40" s="5" t="s">
        <v>32</v>
      </c>
      <c r="H40" s="15">
        <f>+H12</f>
        <v>235</v>
      </c>
      <c r="I40" s="15">
        <f>+I12</f>
        <v>1272.2496000000001</v>
      </c>
    </row>
    <row r="41" spans="7:9" x14ac:dyDescent="0.25">
      <c r="G41" s="5" t="s">
        <v>33</v>
      </c>
      <c r="H41" s="15">
        <f>+H13</f>
        <v>489</v>
      </c>
      <c r="I41" s="15">
        <f>+I13</f>
        <v>1190</v>
      </c>
    </row>
    <row r="42" spans="7:9" x14ac:dyDescent="0.25">
      <c r="G42" s="5" t="s">
        <v>34</v>
      </c>
      <c r="H42" s="15" t="e">
        <f>+#REF!</f>
        <v>#REF!</v>
      </c>
      <c r="I42" s="15" t="e">
        <f>+#REF!</f>
        <v>#REF!</v>
      </c>
    </row>
    <row r="43" spans="7:9" x14ac:dyDescent="0.25">
      <c r="G43" s="5" t="s">
        <v>35</v>
      </c>
      <c r="H43" s="15">
        <f>+H16</f>
        <v>1623</v>
      </c>
      <c r="I43" s="15">
        <f>+I16</f>
        <v>7507</v>
      </c>
    </row>
    <row r="44" spans="7:9" x14ac:dyDescent="0.25">
      <c r="G44" s="5" t="s">
        <v>36</v>
      </c>
      <c r="H44" s="15" t="e">
        <f>+#REF!</f>
        <v>#REF!</v>
      </c>
      <c r="I44" s="15" t="e">
        <f>+#REF!</f>
        <v>#REF!</v>
      </c>
    </row>
    <row r="45" spans="7:9" x14ac:dyDescent="0.25">
      <c r="G45" s="5" t="s">
        <v>37</v>
      </c>
      <c r="H45" s="15" t="e">
        <f>+#REF!</f>
        <v>#REF!</v>
      </c>
      <c r="I45" s="15" t="e">
        <f>+#REF!</f>
        <v>#REF!</v>
      </c>
    </row>
  </sheetData>
  <mergeCells count="7">
    <mergeCell ref="G1:N1"/>
    <mergeCell ref="G2:J2"/>
    <mergeCell ref="K2:N2"/>
    <mergeCell ref="H4:N5"/>
    <mergeCell ref="J6:J7"/>
    <mergeCell ref="K6:L6"/>
    <mergeCell ref="M6:N6"/>
  </mergeCells>
  <conditionalFormatting sqref="Y9:Y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Y46"/>
  <sheetViews>
    <sheetView zoomScale="85" zoomScaleNormal="85" workbookViewId="0">
      <pane xSplit="7" ySplit="7" topLeftCell="H8" activePane="bottomRight" state="frozen"/>
      <selection activeCell="M17" sqref="M17"/>
      <selection pane="topRight" activeCell="M17" sqref="M17"/>
      <selection pane="bottomLeft" activeCell="M17" sqref="M17"/>
      <selection pane="bottomRight" activeCell="N9" sqref="N9:N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5" customWidth="1"/>
    <col min="8" max="8" width="25.42578125" style="5" customWidth="1"/>
    <col min="9" max="9" width="20.1406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7" customWidth="1"/>
    <col min="15" max="15" width="8" style="57" customWidth="1"/>
    <col min="16" max="16" width="8" style="5" customWidth="1"/>
    <col min="17" max="19" width="11.42578125" style="5"/>
    <col min="20" max="22" width="11.42578125" style="15"/>
    <col min="23" max="16384" width="11.42578125" style="5"/>
  </cols>
  <sheetData>
    <row r="1" spans="1:25" s="2" customFormat="1" ht="28.5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217"/>
      <c r="T1" s="218"/>
      <c r="U1" s="218"/>
      <c r="V1" s="218"/>
    </row>
    <row r="2" spans="1:25" s="2" customFormat="1" ht="23.25" customHeight="1" x14ac:dyDescent="0.45">
      <c r="E2" s="3"/>
      <c r="F2" s="101"/>
      <c r="G2" s="845" t="s">
        <v>2</v>
      </c>
      <c r="H2" s="846"/>
      <c r="I2" s="846"/>
      <c r="J2" s="846"/>
      <c r="K2" s="847" t="str">
        <f>+NOMBRE!B7</f>
        <v>ENERO - MAYO 2024</v>
      </c>
      <c r="L2" s="847"/>
      <c r="M2" s="847"/>
      <c r="N2" s="847"/>
      <c r="O2" s="217"/>
      <c r="T2" s="218"/>
      <c r="U2" s="218"/>
      <c r="V2" s="218"/>
    </row>
    <row r="3" spans="1:25" ht="40.5" customHeight="1" thickBot="1" x14ac:dyDescent="0.3">
      <c r="O3" s="5"/>
      <c r="R3" s="6"/>
      <c r="T3" s="5"/>
      <c r="U3" s="88" t="s">
        <v>45</v>
      </c>
      <c r="V3" s="89">
        <v>12</v>
      </c>
      <c r="W3" s="6"/>
      <c r="X3" s="6"/>
    </row>
    <row r="4" spans="1:25" ht="15" customHeight="1" x14ac:dyDescent="0.25">
      <c r="G4" s="58"/>
      <c r="H4" s="848" t="s">
        <v>522</v>
      </c>
      <c r="I4" s="849"/>
      <c r="J4" s="849"/>
      <c r="K4" s="849"/>
      <c r="L4" s="849"/>
      <c r="M4" s="849"/>
      <c r="N4" s="850"/>
      <c r="O4" s="5"/>
      <c r="R4" s="6"/>
      <c r="T4" s="5"/>
      <c r="U4" s="88" t="s">
        <v>46</v>
      </c>
      <c r="V4" s="89">
        <f>meta3!AB2</f>
        <v>5</v>
      </c>
      <c r="W4" s="6"/>
    </row>
    <row r="5" spans="1:25" ht="38.25" customHeight="1" thickBot="1" x14ac:dyDescent="0.3">
      <c r="G5" s="58"/>
      <c r="H5" s="939"/>
      <c r="I5" s="864"/>
      <c r="J5" s="864"/>
      <c r="K5" s="864"/>
      <c r="L5" s="864"/>
      <c r="M5" s="864"/>
      <c r="N5" s="865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73.5" customHeight="1" thickBot="1" x14ac:dyDescent="0.3">
      <c r="G6" s="59"/>
      <c r="H6" s="7" t="s">
        <v>4</v>
      </c>
      <c r="I6" s="8" t="s">
        <v>5</v>
      </c>
      <c r="J6" s="854" t="s">
        <v>6</v>
      </c>
      <c r="K6" s="856">
        <f>+NOMBRE!$B$9</f>
        <v>2024</v>
      </c>
      <c r="L6" s="857"/>
      <c r="M6" s="858" t="s">
        <v>7</v>
      </c>
      <c r="N6" s="859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79.5" thickBot="1" x14ac:dyDescent="0.3">
      <c r="G7" s="609" t="s">
        <v>438</v>
      </c>
      <c r="H7" s="219" t="s">
        <v>436</v>
      </c>
      <c r="I7" s="11" t="s">
        <v>130</v>
      </c>
      <c r="J7" s="855"/>
      <c r="K7" s="12" t="s">
        <v>11</v>
      </c>
      <c r="L7" s="496" t="s">
        <v>81</v>
      </c>
      <c r="M7" s="14" t="s">
        <v>13</v>
      </c>
      <c r="N7" s="14" t="s">
        <v>520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16.5" thickBot="1" x14ac:dyDescent="0.3">
      <c r="G8" s="672"/>
      <c r="H8" s="676"/>
      <c r="I8" s="442"/>
      <c r="J8" s="673"/>
      <c r="K8" s="657">
        <f>indicadores!E37</f>
        <v>0.55289999999999995</v>
      </c>
      <c r="L8" s="496">
        <v>1</v>
      </c>
      <c r="M8" s="444"/>
      <c r="N8" s="444">
        <v>6.59</v>
      </c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</row>
    <row r="9" spans="1:25" ht="16.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34">
        <f>REMP!F6</f>
        <v>2707</v>
      </c>
      <c r="I9" s="34">
        <f>Poblacion2024!AH6</f>
        <v>5497.8633989999998</v>
      </c>
      <c r="J9" s="35">
        <f t="shared" ref="J9:J16" si="0">IF(I9=0,0,+H9/I9)</f>
        <v>0.49237309178914362</v>
      </c>
      <c r="K9" s="46">
        <f>$K$8</f>
        <v>0.55289999999999995</v>
      </c>
      <c r="L9" s="46">
        <f>+K9*$L$8</f>
        <v>0.55289999999999995</v>
      </c>
      <c r="M9" s="110">
        <f t="shared" ref="M9:M16" si="1">IF(+J9/L9&gt;1,1,+J9/L9)</f>
        <v>0.89052829044880388</v>
      </c>
      <c r="N9" s="71">
        <f>+M9*$N$8/100</f>
        <v>5.8685814340576174E-2</v>
      </c>
      <c r="O9" s="146">
        <f>K9</f>
        <v>0.55289999999999995</v>
      </c>
      <c r="P9" s="146">
        <f>(T9/R9)</f>
        <v>0.49237309178914362</v>
      </c>
      <c r="Q9" s="147">
        <f>P9/O9</f>
        <v>0.89052829044880388</v>
      </c>
      <c r="R9" s="97">
        <f>I9</f>
        <v>5497.8633989999998</v>
      </c>
      <c r="S9" s="98">
        <f>R9*O9</f>
        <v>3039.7686733070996</v>
      </c>
      <c r="T9" s="97">
        <f>H9</f>
        <v>2707</v>
      </c>
      <c r="U9" s="98">
        <f>S9/$V$3</f>
        <v>253.31405610892497</v>
      </c>
      <c r="V9" s="98">
        <f>U9*$V$4</f>
        <v>1266.5702805446249</v>
      </c>
      <c r="W9" s="98">
        <f>H9</f>
        <v>2707</v>
      </c>
      <c r="X9" s="99">
        <f>W9/V9</f>
        <v>2.1372678970771291</v>
      </c>
      <c r="Y9" s="431">
        <f>(V9-W9)*-1</f>
        <v>1440.4297194553751</v>
      </c>
    </row>
    <row r="10" spans="1:25" ht="16.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39">
        <f>REMP!F7</f>
        <v>1664</v>
      </c>
      <c r="I10" s="39">
        <f>Poblacion2024!AH7</f>
        <v>2923.9560000000001</v>
      </c>
      <c r="J10" s="40">
        <f t="shared" si="0"/>
        <v>0.56909201096049322</v>
      </c>
      <c r="K10" s="42">
        <f t="shared" ref="K10:K16" si="2">$K$8</f>
        <v>0.55289999999999995</v>
      </c>
      <c r="L10" s="42">
        <f t="shared" ref="L10:L16" si="3">+K10*$L$8</f>
        <v>0.55289999999999995</v>
      </c>
      <c r="M10" s="113">
        <f t="shared" si="1"/>
        <v>1</v>
      </c>
      <c r="N10" s="71">
        <f t="shared" ref="N10:N16" si="4">+M10*$N$8/100</f>
        <v>6.59E-2</v>
      </c>
      <c r="O10" s="146">
        <f t="shared" ref="O10:O16" si="5">K10</f>
        <v>0.55289999999999995</v>
      </c>
      <c r="P10" s="146">
        <f t="shared" ref="P10:P16" si="6">(T10/R10)</f>
        <v>0.56909201096049322</v>
      </c>
      <c r="Q10" s="147">
        <f t="shared" ref="Q10:Q16" si="7">P10/O10</f>
        <v>1.0292856049204075</v>
      </c>
      <c r="R10" s="97">
        <f t="shared" ref="R10:R16" si="8">I10</f>
        <v>2923.9560000000001</v>
      </c>
      <c r="S10" s="98">
        <f t="shared" ref="S10:S16" si="9">R10*O10</f>
        <v>1616.6552723999998</v>
      </c>
      <c r="T10" s="97">
        <f t="shared" ref="T10:T16" si="10">H10</f>
        <v>1664</v>
      </c>
      <c r="U10" s="98">
        <f t="shared" ref="U10:U16" si="11">S10/$V$3</f>
        <v>134.72127269999999</v>
      </c>
      <c r="V10" s="98">
        <f t="shared" ref="V10:V16" si="12">U10*$V$4</f>
        <v>673.60636349999993</v>
      </c>
      <c r="W10" s="98">
        <f t="shared" ref="W10:W16" si="13">H10</f>
        <v>1664</v>
      </c>
      <c r="X10" s="99">
        <f t="shared" ref="X10:X16" si="14">W10/V10</f>
        <v>2.4702854518089779</v>
      </c>
      <c r="Y10" s="431">
        <f t="shared" ref="Y10:Y16" si="15">(V10-W10)*-1</f>
        <v>990.39363650000007</v>
      </c>
    </row>
    <row r="11" spans="1:25" ht="16.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39">
        <f>REMP!F8</f>
        <v>772</v>
      </c>
      <c r="I11" s="39">
        <f>Poblacion2024!AH8</f>
        <v>2011.9470000000001</v>
      </c>
      <c r="J11" s="40">
        <f t="shared" si="0"/>
        <v>0.38370792073548654</v>
      </c>
      <c r="K11" s="42">
        <f t="shared" si="2"/>
        <v>0.55289999999999995</v>
      </c>
      <c r="L11" s="42">
        <f t="shared" si="3"/>
        <v>0.55289999999999995</v>
      </c>
      <c r="M11" s="113">
        <f t="shared" si="1"/>
        <v>0.69399153687011494</v>
      </c>
      <c r="N11" s="71">
        <f t="shared" si="4"/>
        <v>4.5734042279740574E-2</v>
      </c>
      <c r="O11" s="146">
        <f t="shared" si="5"/>
        <v>0.55289999999999995</v>
      </c>
      <c r="P11" s="146">
        <f t="shared" si="6"/>
        <v>0.38370792073548654</v>
      </c>
      <c r="Q11" s="147">
        <f t="shared" si="7"/>
        <v>0.69399153687011494</v>
      </c>
      <c r="R11" s="97">
        <f t="shared" si="8"/>
        <v>2011.9470000000001</v>
      </c>
      <c r="S11" s="98">
        <f t="shared" si="9"/>
        <v>1112.4054962999999</v>
      </c>
      <c r="T11" s="97">
        <f t="shared" si="10"/>
        <v>772</v>
      </c>
      <c r="U11" s="98">
        <f t="shared" si="11"/>
        <v>92.700458024999989</v>
      </c>
      <c r="V11" s="98">
        <f t="shared" si="12"/>
        <v>463.50229012499994</v>
      </c>
      <c r="W11" s="98">
        <f t="shared" si="13"/>
        <v>772</v>
      </c>
      <c r="X11" s="99">
        <f t="shared" si="14"/>
        <v>1.6655796884882761</v>
      </c>
      <c r="Y11" s="431">
        <f t="shared" si="15"/>
        <v>308.49770987500006</v>
      </c>
    </row>
    <row r="12" spans="1:25" ht="16.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39">
        <f>REMP!F9</f>
        <v>1351</v>
      </c>
      <c r="I12" s="39">
        <f>Poblacion2024!AH9</f>
        <v>2085.7440336</v>
      </c>
      <c r="J12" s="40">
        <f t="shared" si="0"/>
        <v>0.64773048765153141</v>
      </c>
      <c r="K12" s="42">
        <f t="shared" si="2"/>
        <v>0.55289999999999995</v>
      </c>
      <c r="L12" s="42">
        <f t="shared" si="3"/>
        <v>0.55289999999999995</v>
      </c>
      <c r="M12" s="113">
        <f t="shared" si="1"/>
        <v>1</v>
      </c>
      <c r="N12" s="71">
        <f t="shared" si="4"/>
        <v>6.59E-2</v>
      </c>
      <c r="O12" s="146">
        <f t="shared" si="5"/>
        <v>0.55289999999999995</v>
      </c>
      <c r="P12" s="146">
        <f t="shared" si="6"/>
        <v>0.64773048765153141</v>
      </c>
      <c r="Q12" s="147">
        <f t="shared" si="7"/>
        <v>1.171514718125396</v>
      </c>
      <c r="R12" s="97">
        <f t="shared" si="8"/>
        <v>2085.7440336</v>
      </c>
      <c r="S12" s="98">
        <f t="shared" si="9"/>
        <v>1153.2078761774399</v>
      </c>
      <c r="T12" s="97">
        <f t="shared" si="10"/>
        <v>1351</v>
      </c>
      <c r="U12" s="98">
        <f t="shared" si="11"/>
        <v>96.100656348119983</v>
      </c>
      <c r="V12" s="98">
        <f t="shared" si="12"/>
        <v>480.5032817405999</v>
      </c>
      <c r="W12" s="98">
        <f t="shared" si="13"/>
        <v>1351</v>
      </c>
      <c r="X12" s="99">
        <f t="shared" si="14"/>
        <v>2.8116353235009504</v>
      </c>
      <c r="Y12" s="431">
        <f t="shared" si="15"/>
        <v>870.49671825940004</v>
      </c>
    </row>
    <row r="13" spans="1:25" ht="16.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39">
        <f>REMP!F10</f>
        <v>1182</v>
      </c>
      <c r="I13" s="39">
        <f>Poblacion2024!AH10</f>
        <v>2040.6179999999999</v>
      </c>
      <c r="J13" s="40">
        <f t="shared" si="0"/>
        <v>0.57923629018267997</v>
      </c>
      <c r="K13" s="42">
        <f t="shared" si="2"/>
        <v>0.55289999999999995</v>
      </c>
      <c r="L13" s="42">
        <f t="shared" si="3"/>
        <v>0.55289999999999995</v>
      </c>
      <c r="M13" s="113">
        <f t="shared" si="1"/>
        <v>1</v>
      </c>
      <c r="N13" s="71">
        <f t="shared" si="4"/>
        <v>6.59E-2</v>
      </c>
      <c r="O13" s="146">
        <f t="shared" si="5"/>
        <v>0.55289999999999995</v>
      </c>
      <c r="P13" s="146">
        <f t="shared" si="6"/>
        <v>0.57923629018267997</v>
      </c>
      <c r="Q13" s="147">
        <f t="shared" si="7"/>
        <v>1.0476330081075782</v>
      </c>
      <c r="R13" s="97">
        <f t="shared" si="8"/>
        <v>2040.6179999999999</v>
      </c>
      <c r="S13" s="98">
        <f t="shared" si="9"/>
        <v>1128.2576921999998</v>
      </c>
      <c r="T13" s="97">
        <f t="shared" si="10"/>
        <v>1182</v>
      </c>
      <c r="U13" s="98">
        <f t="shared" si="11"/>
        <v>94.021474349999991</v>
      </c>
      <c r="V13" s="98">
        <f t="shared" si="12"/>
        <v>470.10737174999997</v>
      </c>
      <c r="W13" s="98">
        <f t="shared" si="13"/>
        <v>1182</v>
      </c>
      <c r="X13" s="99">
        <f t="shared" si="14"/>
        <v>2.5143192194581876</v>
      </c>
      <c r="Y13" s="431">
        <f t="shared" si="15"/>
        <v>711.89262825000003</v>
      </c>
    </row>
    <row r="14" spans="1:25" ht="16.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39">
        <f>REMP!F11</f>
        <v>47</v>
      </c>
      <c r="I14" s="39">
        <f>Poblacion2024!AH11</f>
        <v>72.413601</v>
      </c>
      <c r="J14" s="40">
        <f t="shared" si="0"/>
        <v>0.64904934088279909</v>
      </c>
      <c r="K14" s="42">
        <f t="shared" si="2"/>
        <v>0.55289999999999995</v>
      </c>
      <c r="L14" s="42">
        <f t="shared" si="3"/>
        <v>0.55289999999999995</v>
      </c>
      <c r="M14" s="113">
        <f t="shared" si="1"/>
        <v>1</v>
      </c>
      <c r="N14" s="71">
        <f t="shared" si="4"/>
        <v>6.59E-2</v>
      </c>
      <c r="O14" s="146">
        <f t="shared" si="5"/>
        <v>0.55289999999999995</v>
      </c>
      <c r="P14" s="146">
        <f t="shared" si="6"/>
        <v>0.64904934088279909</v>
      </c>
      <c r="Q14" s="147">
        <f t="shared" si="7"/>
        <v>1.1739000558560302</v>
      </c>
      <c r="R14" s="97">
        <f t="shared" si="8"/>
        <v>72.413601</v>
      </c>
      <c r="S14" s="98">
        <f t="shared" si="9"/>
        <v>40.037479992899996</v>
      </c>
      <c r="T14" s="97">
        <f t="shared" si="10"/>
        <v>47</v>
      </c>
      <c r="U14" s="98">
        <f t="shared" si="11"/>
        <v>3.3364566660749997</v>
      </c>
      <c r="V14" s="98">
        <f t="shared" si="12"/>
        <v>16.682283330375</v>
      </c>
      <c r="W14" s="98">
        <f t="shared" si="13"/>
        <v>47</v>
      </c>
      <c r="X14" s="99">
        <f t="shared" si="14"/>
        <v>2.8173601340544723</v>
      </c>
      <c r="Y14" s="431">
        <f t="shared" si="15"/>
        <v>30.317716669625</v>
      </c>
    </row>
    <row r="15" spans="1:25" ht="16.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53">
        <f>REMP!F12</f>
        <v>414</v>
      </c>
      <c r="I15" s="53">
        <f>Poblacion2024!AH12</f>
        <v>550.43396640000003</v>
      </c>
      <c r="J15" s="54">
        <f t="shared" si="0"/>
        <v>0.75213381671861879</v>
      </c>
      <c r="K15" s="55">
        <f t="shared" si="2"/>
        <v>0.55289999999999995</v>
      </c>
      <c r="L15" s="55">
        <f t="shared" si="3"/>
        <v>0.55289999999999995</v>
      </c>
      <c r="M15" s="116">
        <f t="shared" si="1"/>
        <v>1</v>
      </c>
      <c r="N15" s="71">
        <f t="shared" si="4"/>
        <v>6.59E-2</v>
      </c>
      <c r="O15" s="146">
        <f t="shared" si="5"/>
        <v>0.55289999999999995</v>
      </c>
      <c r="P15" s="146">
        <f t="shared" si="6"/>
        <v>0.75213381671861879</v>
      </c>
      <c r="Q15" s="147">
        <f t="shared" si="7"/>
        <v>1.3603433111206709</v>
      </c>
      <c r="R15" s="97">
        <f t="shared" si="8"/>
        <v>550.43396640000003</v>
      </c>
      <c r="S15" s="98">
        <f t="shared" si="9"/>
        <v>304.33494002255998</v>
      </c>
      <c r="T15" s="97">
        <f t="shared" si="10"/>
        <v>414</v>
      </c>
      <c r="U15" s="98">
        <f t="shared" si="11"/>
        <v>25.361245001879997</v>
      </c>
      <c r="V15" s="98">
        <f t="shared" si="12"/>
        <v>126.80622500939998</v>
      </c>
      <c r="W15" s="98">
        <f t="shared" si="13"/>
        <v>414</v>
      </c>
      <c r="X15" s="99">
        <f t="shared" si="14"/>
        <v>3.2648239466896101</v>
      </c>
      <c r="Y15" s="431">
        <f t="shared" si="15"/>
        <v>287.19377499059999</v>
      </c>
    </row>
    <row r="16" spans="1:25" ht="16.5" customHeight="1" thickBot="1" x14ac:dyDescent="0.35">
      <c r="A16" s="214"/>
      <c r="B16" s="214"/>
      <c r="C16" s="64"/>
      <c r="D16" s="65"/>
      <c r="E16" s="66"/>
      <c r="F16" s="106"/>
      <c r="G16" s="544" t="s">
        <v>15</v>
      </c>
      <c r="H16" s="616">
        <f>SUM(H9:H15)</f>
        <v>8137</v>
      </c>
      <c r="I16" s="617">
        <f>SUM(I9:I15)</f>
        <v>15182.976000000001</v>
      </c>
      <c r="J16" s="481">
        <f t="shared" si="0"/>
        <v>0.53592918805904721</v>
      </c>
      <c r="K16" s="512">
        <f t="shared" si="2"/>
        <v>0.55289999999999995</v>
      </c>
      <c r="L16" s="512">
        <f t="shared" si="3"/>
        <v>0.55289999999999995</v>
      </c>
      <c r="M16" s="513">
        <f t="shared" si="1"/>
        <v>0.96930582032745027</v>
      </c>
      <c r="N16" s="71">
        <f t="shared" si="4"/>
        <v>6.3877253559578975E-2</v>
      </c>
      <c r="O16" s="146">
        <f t="shared" si="5"/>
        <v>0.55289999999999995</v>
      </c>
      <c r="P16" s="146">
        <f t="shared" si="6"/>
        <v>0.53592918805904721</v>
      </c>
      <c r="Q16" s="147">
        <f t="shared" si="7"/>
        <v>0.96930582032745027</v>
      </c>
      <c r="R16" s="97">
        <f t="shared" si="8"/>
        <v>15182.976000000001</v>
      </c>
      <c r="S16" s="98">
        <f t="shared" si="9"/>
        <v>8394.6674303999989</v>
      </c>
      <c r="T16" s="97">
        <f t="shared" si="10"/>
        <v>8137</v>
      </c>
      <c r="U16" s="98">
        <f t="shared" si="11"/>
        <v>699.55561919999991</v>
      </c>
      <c r="V16" s="98">
        <f t="shared" si="12"/>
        <v>3497.7780959999996</v>
      </c>
      <c r="W16" s="98">
        <f t="shared" si="13"/>
        <v>8137</v>
      </c>
      <c r="X16" s="99">
        <f t="shared" si="14"/>
        <v>2.3263339687858808</v>
      </c>
      <c r="Y16" s="431">
        <f t="shared" si="15"/>
        <v>4639.221904</v>
      </c>
    </row>
    <row r="17" spans="11:22" x14ac:dyDescent="0.25">
      <c r="K17" s="57"/>
      <c r="O17" s="122"/>
      <c r="P17" s="122"/>
    </row>
    <row r="18" spans="11:22" x14ac:dyDescent="0.25">
      <c r="T18" s="5"/>
      <c r="U18" s="5"/>
      <c r="V18" s="5"/>
    </row>
    <row r="19" spans="11:22" x14ac:dyDescent="0.25">
      <c r="T19" s="5"/>
      <c r="U19" s="5"/>
      <c r="V19" s="5"/>
    </row>
    <row r="20" spans="11:22" x14ac:dyDescent="0.25">
      <c r="T20" s="5"/>
      <c r="U20" s="5"/>
      <c r="V20" s="5"/>
    </row>
    <row r="21" spans="11:22" x14ac:dyDescent="0.25">
      <c r="T21" s="5"/>
      <c r="U21" s="5"/>
      <c r="V21" s="5"/>
    </row>
    <row r="22" spans="11:22" x14ac:dyDescent="0.25">
      <c r="T22" s="5"/>
      <c r="U22" s="5"/>
      <c r="V22" s="5"/>
    </row>
    <row r="23" spans="11:22" x14ac:dyDescent="0.25">
      <c r="T23" s="5"/>
      <c r="U23" s="5"/>
      <c r="V23" s="5"/>
    </row>
    <row r="24" spans="11:22" x14ac:dyDescent="0.25">
      <c r="T24" s="5"/>
      <c r="U24" s="5"/>
      <c r="V24" s="5"/>
    </row>
    <row r="25" spans="11:22" x14ac:dyDescent="0.25">
      <c r="T25" s="5"/>
      <c r="U25" s="5"/>
      <c r="V25" s="5"/>
    </row>
    <row r="26" spans="11:22" x14ac:dyDescent="0.25">
      <c r="T26" s="5"/>
      <c r="U26" s="5"/>
      <c r="V26" s="5"/>
    </row>
    <row r="27" spans="11:22" x14ac:dyDescent="0.25">
      <c r="T27" s="5"/>
      <c r="U27" s="5"/>
      <c r="V27" s="5"/>
    </row>
    <row r="28" spans="11:22" x14ac:dyDescent="0.25">
      <c r="T28" s="5"/>
      <c r="U28" s="5"/>
      <c r="V28" s="5"/>
    </row>
    <row r="29" spans="11:22" x14ac:dyDescent="0.25">
      <c r="T29" s="5"/>
      <c r="U29" s="5"/>
      <c r="V29" s="5"/>
    </row>
    <row r="30" spans="11:22" x14ac:dyDescent="0.25">
      <c r="T30" s="5"/>
      <c r="U30" s="5"/>
      <c r="V30" s="5"/>
    </row>
    <row r="31" spans="11:22" x14ac:dyDescent="0.25">
      <c r="T31" s="5"/>
      <c r="U31" s="5"/>
      <c r="V31" s="5"/>
    </row>
    <row r="32" spans="11:22" x14ac:dyDescent="0.25">
      <c r="T32" s="5"/>
      <c r="U32" s="5"/>
      <c r="V32" s="5"/>
    </row>
    <row r="33" spans="20:22" x14ac:dyDescent="0.25">
      <c r="T33" s="5"/>
      <c r="U33" s="5"/>
      <c r="V33" s="5"/>
    </row>
    <row r="34" spans="20:22" x14ac:dyDescent="0.25">
      <c r="T34" s="5"/>
      <c r="U34" s="5"/>
      <c r="V34" s="5"/>
    </row>
    <row r="35" spans="20:22" x14ac:dyDescent="0.25">
      <c r="T35" s="5"/>
      <c r="U35" s="5"/>
      <c r="V35" s="5"/>
    </row>
    <row r="36" spans="20:22" x14ac:dyDescent="0.25">
      <c r="T36" s="5"/>
      <c r="U36" s="5"/>
      <c r="V36" s="5"/>
    </row>
    <row r="37" spans="20:22" x14ac:dyDescent="0.25">
      <c r="T37" s="5"/>
      <c r="U37" s="5"/>
      <c r="V37" s="5"/>
    </row>
    <row r="38" spans="20:22" x14ac:dyDescent="0.25">
      <c r="T38" s="5"/>
      <c r="U38" s="5"/>
      <c r="V38" s="5"/>
    </row>
    <row r="39" spans="20:22" x14ac:dyDescent="0.25">
      <c r="T39" s="5"/>
      <c r="U39" s="5"/>
      <c r="V39" s="5"/>
    </row>
    <row r="40" spans="20:22" x14ac:dyDescent="0.25">
      <c r="T40" s="5"/>
      <c r="U40" s="5"/>
      <c r="V40" s="5"/>
    </row>
    <row r="41" spans="20:22" x14ac:dyDescent="0.25">
      <c r="T41" s="5"/>
      <c r="U41" s="5"/>
      <c r="V41" s="5"/>
    </row>
    <row r="42" spans="20:22" x14ac:dyDescent="0.25">
      <c r="T42" s="5"/>
      <c r="U42" s="5"/>
      <c r="V42" s="5"/>
    </row>
    <row r="43" spans="20:22" x14ac:dyDescent="0.25">
      <c r="T43" s="5"/>
      <c r="U43" s="5"/>
      <c r="V43" s="5"/>
    </row>
    <row r="44" spans="20:22" x14ac:dyDescent="0.25">
      <c r="T44" s="5"/>
      <c r="U44" s="5"/>
      <c r="V44" s="5"/>
    </row>
    <row r="45" spans="20:22" x14ac:dyDescent="0.25">
      <c r="T45" s="5"/>
      <c r="U45" s="5"/>
      <c r="V45" s="5"/>
    </row>
    <row r="46" spans="20:22" x14ac:dyDescent="0.25">
      <c r="T46" s="5"/>
      <c r="U46" s="5"/>
      <c r="V46" s="5"/>
    </row>
  </sheetData>
  <autoFilter ref="G4:G16" xr:uid="{00000000-0001-0000-1100-000000000000}"/>
  <mergeCells count="7">
    <mergeCell ref="G1:N1"/>
    <mergeCell ref="G2:J2"/>
    <mergeCell ref="K2:N2"/>
    <mergeCell ref="H4:N5"/>
    <mergeCell ref="J6:J7"/>
    <mergeCell ref="K6:L6"/>
    <mergeCell ref="M6:N6"/>
  </mergeCells>
  <conditionalFormatting sqref="Y9:Y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Y52"/>
  <sheetViews>
    <sheetView zoomScale="85" zoomScaleNormal="85" workbookViewId="0">
      <selection activeCell="N16" sqref="N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8" width="26.4257812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7" customWidth="1"/>
    <col min="15" max="15" width="8" style="57" customWidth="1"/>
    <col min="16" max="16" width="8" style="5" customWidth="1"/>
    <col min="17" max="16384" width="11.42578125" style="5"/>
  </cols>
  <sheetData>
    <row r="1" spans="1:25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56"/>
    </row>
    <row r="2" spans="1:25" s="2" customFormat="1" ht="23.25" customHeight="1" x14ac:dyDescent="0.45">
      <c r="E2" s="3"/>
      <c r="F2" s="101"/>
      <c r="G2" s="845" t="s">
        <v>2</v>
      </c>
      <c r="H2" s="846"/>
      <c r="I2" s="846"/>
      <c r="J2" s="846"/>
      <c r="K2" s="847" t="str">
        <f>+NOMBRE!B7</f>
        <v>ENERO - MAYO 2024</v>
      </c>
      <c r="L2" s="847"/>
      <c r="M2" s="847"/>
      <c r="N2" s="847"/>
      <c r="O2" s="56"/>
    </row>
    <row r="3" spans="1:25" ht="60.75" thickBot="1" x14ac:dyDescent="0.3">
      <c r="O3" s="5"/>
      <c r="R3" s="6"/>
      <c r="U3" s="88" t="s">
        <v>45</v>
      </c>
      <c r="V3" s="89">
        <v>12</v>
      </c>
      <c r="W3" s="6"/>
      <c r="X3" s="6"/>
    </row>
    <row r="4" spans="1:25" ht="15" customHeight="1" x14ac:dyDescent="0.25">
      <c r="G4" s="59"/>
      <c r="H4" s="848" t="s">
        <v>523</v>
      </c>
      <c r="I4" s="849"/>
      <c r="J4" s="849"/>
      <c r="K4" s="849"/>
      <c r="L4" s="849"/>
      <c r="M4" s="849"/>
      <c r="N4" s="850"/>
      <c r="O4" s="5"/>
      <c r="R4" s="6"/>
      <c r="U4" s="88" t="s">
        <v>46</v>
      </c>
      <c r="V4" s="89">
        <f>meta3!AB2</f>
        <v>5</v>
      </c>
      <c r="W4" s="6"/>
    </row>
    <row r="5" spans="1:25" ht="62.25" customHeight="1" thickBot="1" x14ac:dyDescent="0.3">
      <c r="G5" s="541"/>
      <c r="H5" s="851"/>
      <c r="I5" s="852"/>
      <c r="J5" s="852"/>
      <c r="K5" s="852"/>
      <c r="L5" s="852"/>
      <c r="M5" s="852"/>
      <c r="N5" s="853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45.75" customHeight="1" thickBot="1" x14ac:dyDescent="0.3">
      <c r="G6" s="541"/>
      <c r="H6" s="7" t="s">
        <v>4</v>
      </c>
      <c r="I6" s="8" t="s">
        <v>5</v>
      </c>
      <c r="J6" s="854" t="s">
        <v>6</v>
      </c>
      <c r="K6" s="856">
        <f>+NOMBRE!$B$9</f>
        <v>2024</v>
      </c>
      <c r="L6" s="857"/>
      <c r="M6" s="858" t="s">
        <v>7</v>
      </c>
      <c r="N6" s="859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94.5" customHeight="1" thickBot="1" x14ac:dyDescent="0.3">
      <c r="G7" s="609" t="s">
        <v>438</v>
      </c>
      <c r="H7" s="220" t="s">
        <v>131</v>
      </c>
      <c r="I7" s="11" t="s">
        <v>132</v>
      </c>
      <c r="J7" s="855"/>
      <c r="K7" s="12" t="s">
        <v>11</v>
      </c>
      <c r="L7" s="12" t="s">
        <v>12</v>
      </c>
      <c r="M7" s="14" t="s">
        <v>13</v>
      </c>
      <c r="N7" s="14" t="s">
        <v>520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16.5" thickBot="1" x14ac:dyDescent="0.3">
      <c r="G8" s="672"/>
      <c r="H8" s="678"/>
      <c r="I8" s="442"/>
      <c r="J8" s="673"/>
      <c r="K8" s="496">
        <f>indicadores!E38</f>
        <v>0.5423</v>
      </c>
      <c r="L8" s="496">
        <v>1</v>
      </c>
      <c r="M8" s="444"/>
      <c r="N8" s="444">
        <v>6.59</v>
      </c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</row>
    <row r="9" spans="1:25" ht="1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69">
        <f>REMP!E6</f>
        <v>5784</v>
      </c>
      <c r="I9" s="69">
        <f>Poblacion2024!AN6</f>
        <v>12679.901157</v>
      </c>
      <c r="J9" s="35">
        <f>+H9/I9</f>
        <v>0.45615497537273114</v>
      </c>
      <c r="K9" s="37">
        <f>$K$8</f>
        <v>0.5423</v>
      </c>
      <c r="L9" s="37">
        <f>+K9*$L$8</f>
        <v>0.5423</v>
      </c>
      <c r="M9" s="110">
        <f t="shared" ref="M9:M16" si="0">IF(+J9/L9&gt;1,1,+J9/L9)</f>
        <v>0.841148765208798</v>
      </c>
      <c r="N9" s="71">
        <f>+M9*$N$8/100</f>
        <v>5.5431703627259792E-2</v>
      </c>
      <c r="O9" s="146">
        <f>K9</f>
        <v>0.5423</v>
      </c>
      <c r="P9" s="146">
        <f>(T9/R9)</f>
        <v>0.45615497537273114</v>
      </c>
      <c r="Q9" s="147">
        <f>P9/O9</f>
        <v>0.841148765208798</v>
      </c>
      <c r="R9" s="97">
        <f>I9</f>
        <v>12679.901157</v>
      </c>
      <c r="S9" s="98">
        <f>R9*O9</f>
        <v>6876.3103974411006</v>
      </c>
      <c r="T9" s="97">
        <f>H9</f>
        <v>5784</v>
      </c>
      <c r="U9" s="98">
        <f>S9/$V$3</f>
        <v>573.02586645342501</v>
      </c>
      <c r="V9" s="98">
        <f>U9*$V$4</f>
        <v>2865.1293322671249</v>
      </c>
      <c r="W9" s="98">
        <f>H9</f>
        <v>5784</v>
      </c>
      <c r="X9" s="99">
        <f>W9/V9</f>
        <v>2.0187570365011149</v>
      </c>
      <c r="Y9" s="431">
        <f>(V9-W9)*-1</f>
        <v>2918.8706677328751</v>
      </c>
    </row>
    <row r="10" spans="1:25" ht="1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74">
        <f>REMP!E7</f>
        <v>3504</v>
      </c>
      <c r="I10" s="74">
        <f>Poblacion2024!AN7</f>
        <v>6659.8810000000003</v>
      </c>
      <c r="J10" s="40">
        <f t="shared" ref="J10:J16" si="1">+H10/I10</f>
        <v>0.52613552704620392</v>
      </c>
      <c r="K10" s="42">
        <f t="shared" ref="K10:K16" si="2">$K$8</f>
        <v>0.5423</v>
      </c>
      <c r="L10" s="42">
        <f t="shared" ref="L10:L16" si="3">+K10*$L$8</f>
        <v>0.5423</v>
      </c>
      <c r="M10" s="113">
        <f t="shared" si="0"/>
        <v>0.97019274764190289</v>
      </c>
      <c r="N10" s="71">
        <f t="shared" ref="N10:N16" si="4">+M10*$N$8/100</f>
        <v>6.3935702069601405E-2</v>
      </c>
      <c r="O10" s="146">
        <f t="shared" ref="O10:O16" si="5">K10</f>
        <v>0.5423</v>
      </c>
      <c r="P10" s="146">
        <f t="shared" ref="P10:P16" si="6">(T10/R10)</f>
        <v>0.52613552704620392</v>
      </c>
      <c r="Q10" s="147">
        <f t="shared" ref="Q10:Q16" si="7">P10/O10</f>
        <v>0.97019274764190289</v>
      </c>
      <c r="R10" s="97">
        <f t="shared" ref="R10:R16" si="8">I10</f>
        <v>6659.8810000000003</v>
      </c>
      <c r="S10" s="98">
        <f t="shared" ref="S10:S16" si="9">R10*O10</f>
        <v>3611.6534663000002</v>
      </c>
      <c r="T10" s="97">
        <f t="shared" ref="T10:T16" si="10">H10</f>
        <v>3504</v>
      </c>
      <c r="U10" s="98">
        <f t="shared" ref="U10:U16" si="11">S10/$V$3</f>
        <v>300.97112219166667</v>
      </c>
      <c r="V10" s="98">
        <f t="shared" ref="V10:V16" si="12">U10*$V$4</f>
        <v>1504.8556109583333</v>
      </c>
      <c r="W10" s="98">
        <f t="shared" ref="W10:W16" si="13">H10</f>
        <v>3504</v>
      </c>
      <c r="X10" s="99">
        <f t="shared" ref="X10:X16" si="14">W10/V10</f>
        <v>2.328462594340567</v>
      </c>
      <c r="Y10" s="431">
        <f t="shared" ref="Y10:Y16" si="15">(V10-W10)*-1</f>
        <v>1999.1443890416667</v>
      </c>
    </row>
    <row r="11" spans="1:25" ht="1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74">
        <f>REMP!E8</f>
        <v>1891</v>
      </c>
      <c r="I11" s="74">
        <f>Poblacion2024!AN8</f>
        <v>4539.5740000000005</v>
      </c>
      <c r="J11" s="40">
        <f t="shared" si="1"/>
        <v>0.41655891059381339</v>
      </c>
      <c r="K11" s="42">
        <f t="shared" si="2"/>
        <v>0.5423</v>
      </c>
      <c r="L11" s="42">
        <f t="shared" si="3"/>
        <v>0.5423</v>
      </c>
      <c r="M11" s="113">
        <f t="shared" si="0"/>
        <v>0.76813370937454062</v>
      </c>
      <c r="N11" s="71">
        <f t="shared" si="4"/>
        <v>5.0620011447782227E-2</v>
      </c>
      <c r="O11" s="146">
        <f t="shared" si="5"/>
        <v>0.5423</v>
      </c>
      <c r="P11" s="146">
        <f t="shared" si="6"/>
        <v>0.41655891059381339</v>
      </c>
      <c r="Q11" s="147">
        <f t="shared" si="7"/>
        <v>0.76813370937454062</v>
      </c>
      <c r="R11" s="97">
        <f t="shared" si="8"/>
        <v>4539.5740000000005</v>
      </c>
      <c r="S11" s="98">
        <f t="shared" si="9"/>
        <v>2461.8109802000004</v>
      </c>
      <c r="T11" s="97">
        <f t="shared" si="10"/>
        <v>1891</v>
      </c>
      <c r="U11" s="98">
        <f t="shared" si="11"/>
        <v>205.15091501666669</v>
      </c>
      <c r="V11" s="98">
        <f t="shared" si="12"/>
        <v>1025.7545750833335</v>
      </c>
      <c r="W11" s="98">
        <f t="shared" si="13"/>
        <v>1891</v>
      </c>
      <c r="X11" s="99">
        <f t="shared" si="14"/>
        <v>1.8435209024988974</v>
      </c>
      <c r="Y11" s="431">
        <f t="shared" si="15"/>
        <v>865.24542491666648</v>
      </c>
    </row>
    <row r="12" spans="1:25" ht="1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74">
        <f>REMP!E9</f>
        <v>2883</v>
      </c>
      <c r="I12" s="74">
        <f>Poblacion2024!AN9</f>
        <v>4706.6478352000004</v>
      </c>
      <c r="J12" s="40">
        <f t="shared" si="1"/>
        <v>0.61253786154100309</v>
      </c>
      <c r="K12" s="42">
        <f t="shared" si="2"/>
        <v>0.5423</v>
      </c>
      <c r="L12" s="42">
        <f t="shared" si="3"/>
        <v>0.5423</v>
      </c>
      <c r="M12" s="113">
        <f t="shared" si="0"/>
        <v>1</v>
      </c>
      <c r="N12" s="71">
        <f t="shared" si="4"/>
        <v>6.59E-2</v>
      </c>
      <c r="O12" s="146">
        <f t="shared" si="5"/>
        <v>0.5423</v>
      </c>
      <c r="P12" s="146">
        <f t="shared" si="6"/>
        <v>0.61253786154100309</v>
      </c>
      <c r="Q12" s="147">
        <f t="shared" si="7"/>
        <v>1.1295184612594562</v>
      </c>
      <c r="R12" s="97">
        <f t="shared" si="8"/>
        <v>4706.6478352000004</v>
      </c>
      <c r="S12" s="98">
        <f t="shared" si="9"/>
        <v>2552.4151210289601</v>
      </c>
      <c r="T12" s="97">
        <f t="shared" si="10"/>
        <v>2883</v>
      </c>
      <c r="U12" s="98">
        <f t="shared" si="11"/>
        <v>212.70126008574667</v>
      </c>
      <c r="V12" s="98">
        <f t="shared" si="12"/>
        <v>1063.5063004287333</v>
      </c>
      <c r="W12" s="98">
        <f t="shared" si="13"/>
        <v>2883</v>
      </c>
      <c r="X12" s="99">
        <f t="shared" si="14"/>
        <v>2.7108443070226955</v>
      </c>
      <c r="Y12" s="431">
        <f t="shared" si="15"/>
        <v>1819.4936995712667</v>
      </c>
    </row>
    <row r="13" spans="1:25" ht="1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74">
        <f>REMP!E10</f>
        <v>2779</v>
      </c>
      <c r="I13" s="74">
        <f>Poblacion2024!AN10</f>
        <v>4594.9390000000003</v>
      </c>
      <c r="J13" s="40">
        <f t="shared" si="1"/>
        <v>0.6047958416858199</v>
      </c>
      <c r="K13" s="42">
        <f t="shared" si="2"/>
        <v>0.5423</v>
      </c>
      <c r="L13" s="42">
        <f t="shared" si="3"/>
        <v>0.5423</v>
      </c>
      <c r="M13" s="113">
        <f t="shared" si="0"/>
        <v>1</v>
      </c>
      <c r="N13" s="71">
        <f t="shared" si="4"/>
        <v>6.59E-2</v>
      </c>
      <c r="O13" s="146">
        <f t="shared" si="5"/>
        <v>0.5423</v>
      </c>
      <c r="P13" s="146">
        <f t="shared" si="6"/>
        <v>0.6047958416858199</v>
      </c>
      <c r="Q13" s="147">
        <f t="shared" si="7"/>
        <v>1.1152421937780193</v>
      </c>
      <c r="R13" s="97">
        <f t="shared" si="8"/>
        <v>4594.9390000000003</v>
      </c>
      <c r="S13" s="98">
        <f t="shared" si="9"/>
        <v>2491.8354197000003</v>
      </c>
      <c r="T13" s="97">
        <f t="shared" si="10"/>
        <v>2779</v>
      </c>
      <c r="U13" s="98">
        <f t="shared" si="11"/>
        <v>207.6529516416667</v>
      </c>
      <c r="V13" s="98">
        <f t="shared" si="12"/>
        <v>1038.2647582083334</v>
      </c>
      <c r="W13" s="98">
        <f t="shared" si="13"/>
        <v>2779</v>
      </c>
      <c r="X13" s="99">
        <f t="shared" si="14"/>
        <v>2.6765812650672465</v>
      </c>
      <c r="Y13" s="431">
        <f t="shared" si="15"/>
        <v>1740.7352417916666</v>
      </c>
    </row>
    <row r="14" spans="1:25" ht="1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74">
        <f>REMP!E11</f>
        <v>136</v>
      </c>
      <c r="I14" s="74">
        <f>Poblacion2024!AN11</f>
        <v>167.00984299999999</v>
      </c>
      <c r="J14" s="40">
        <f t="shared" si="1"/>
        <v>0.81432326117449261</v>
      </c>
      <c r="K14" s="42">
        <f t="shared" si="2"/>
        <v>0.5423</v>
      </c>
      <c r="L14" s="42">
        <f t="shared" si="3"/>
        <v>0.5423</v>
      </c>
      <c r="M14" s="113">
        <f t="shared" si="0"/>
        <v>1</v>
      </c>
      <c r="N14" s="71">
        <f t="shared" si="4"/>
        <v>6.59E-2</v>
      </c>
      <c r="O14" s="146">
        <f t="shared" si="5"/>
        <v>0.5423</v>
      </c>
      <c r="P14" s="146">
        <f t="shared" si="6"/>
        <v>0.81432326117449261</v>
      </c>
      <c r="Q14" s="147">
        <f t="shared" si="7"/>
        <v>1.5016102916734144</v>
      </c>
      <c r="R14" s="97">
        <f t="shared" si="8"/>
        <v>167.00984299999999</v>
      </c>
      <c r="S14" s="98">
        <f t="shared" si="9"/>
        <v>90.569437858899988</v>
      </c>
      <c r="T14" s="97">
        <f t="shared" si="10"/>
        <v>136</v>
      </c>
      <c r="U14" s="98">
        <f t="shared" si="11"/>
        <v>7.5474531549083324</v>
      </c>
      <c r="V14" s="98">
        <f t="shared" si="12"/>
        <v>37.737265774541662</v>
      </c>
      <c r="W14" s="98">
        <f t="shared" si="13"/>
        <v>136</v>
      </c>
      <c r="X14" s="99">
        <f t="shared" si="14"/>
        <v>3.603864700016195</v>
      </c>
      <c r="Y14" s="431">
        <f t="shared" si="15"/>
        <v>98.262734225458331</v>
      </c>
    </row>
    <row r="15" spans="1:25" ht="1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115">
        <f>REMP!E12</f>
        <v>830</v>
      </c>
      <c r="I15" s="115">
        <f>Poblacion2024!AN12</f>
        <v>1242.0981648000002</v>
      </c>
      <c r="J15" s="54">
        <f t="shared" si="1"/>
        <v>0.66822415773687638</v>
      </c>
      <c r="K15" s="55">
        <f t="shared" si="2"/>
        <v>0.5423</v>
      </c>
      <c r="L15" s="55">
        <f t="shared" si="3"/>
        <v>0.5423</v>
      </c>
      <c r="M15" s="116">
        <f t="shared" si="0"/>
        <v>1</v>
      </c>
      <c r="N15" s="71">
        <f t="shared" si="4"/>
        <v>6.59E-2</v>
      </c>
      <c r="O15" s="146">
        <f t="shared" si="5"/>
        <v>0.5423</v>
      </c>
      <c r="P15" s="146">
        <f t="shared" si="6"/>
        <v>0.66822415773687638</v>
      </c>
      <c r="Q15" s="147">
        <f t="shared" si="7"/>
        <v>1.2322038682221581</v>
      </c>
      <c r="R15" s="97">
        <f t="shared" si="8"/>
        <v>1242.0981648000002</v>
      </c>
      <c r="S15" s="98">
        <f t="shared" si="9"/>
        <v>673.58983477104005</v>
      </c>
      <c r="T15" s="97">
        <f t="shared" si="10"/>
        <v>830</v>
      </c>
      <c r="U15" s="98">
        <f t="shared" si="11"/>
        <v>56.132486230920001</v>
      </c>
      <c r="V15" s="98">
        <f t="shared" si="12"/>
        <v>280.66243115460003</v>
      </c>
      <c r="W15" s="98">
        <f t="shared" si="13"/>
        <v>830</v>
      </c>
      <c r="X15" s="99">
        <f t="shared" si="14"/>
        <v>2.9572892837331799</v>
      </c>
      <c r="Y15" s="431">
        <f t="shared" si="15"/>
        <v>549.33756884540003</v>
      </c>
    </row>
    <row r="16" spans="1:25" ht="15" customHeight="1" thickBot="1" x14ac:dyDescent="0.35">
      <c r="A16" s="214"/>
      <c r="B16" s="214"/>
      <c r="C16" s="64"/>
      <c r="D16" s="65"/>
      <c r="E16" s="66"/>
      <c r="F16" s="106"/>
      <c r="G16" s="540" t="s">
        <v>15</v>
      </c>
      <c r="H16" s="542">
        <f>SUM(H9:H15)</f>
        <v>17807</v>
      </c>
      <c r="I16" s="542">
        <f>Poblacion2024!AN13</f>
        <v>34590.051000000007</v>
      </c>
      <c r="J16" s="481">
        <f t="shared" si="1"/>
        <v>0.51480120685569375</v>
      </c>
      <c r="K16" s="512">
        <f t="shared" si="2"/>
        <v>0.5423</v>
      </c>
      <c r="L16" s="512">
        <f t="shared" si="3"/>
        <v>0.5423</v>
      </c>
      <c r="M16" s="513">
        <f t="shared" si="0"/>
        <v>0.9492922862911557</v>
      </c>
      <c r="N16" s="514">
        <f t="shared" si="4"/>
        <v>6.2558361666587153E-2</v>
      </c>
      <c r="O16" s="146">
        <f t="shared" si="5"/>
        <v>0.5423</v>
      </c>
      <c r="P16" s="146">
        <f t="shared" si="6"/>
        <v>0.51480120685569375</v>
      </c>
      <c r="Q16" s="147">
        <f t="shared" si="7"/>
        <v>0.9492922862911557</v>
      </c>
      <c r="R16" s="97">
        <f t="shared" si="8"/>
        <v>34590.051000000007</v>
      </c>
      <c r="S16" s="98">
        <f t="shared" si="9"/>
        <v>18758.184657300004</v>
      </c>
      <c r="T16" s="97">
        <f t="shared" si="10"/>
        <v>17807</v>
      </c>
      <c r="U16" s="98">
        <f t="shared" si="11"/>
        <v>1563.1820547750003</v>
      </c>
      <c r="V16" s="98">
        <f t="shared" si="12"/>
        <v>7815.9102738750016</v>
      </c>
      <c r="W16" s="98">
        <f t="shared" si="13"/>
        <v>17807</v>
      </c>
      <c r="X16" s="99">
        <f t="shared" si="14"/>
        <v>2.2783014870987737</v>
      </c>
      <c r="Y16" s="431">
        <f t="shared" si="15"/>
        <v>9991.0897261249993</v>
      </c>
    </row>
    <row r="17" spans="8:16" x14ac:dyDescent="0.25">
      <c r="H17" s="64"/>
      <c r="I17" s="64"/>
      <c r="K17" s="57"/>
      <c r="O17" s="122"/>
      <c r="P17" s="122"/>
    </row>
    <row r="36" spans="7:9" x14ac:dyDescent="0.25">
      <c r="G36" s="5" t="s">
        <v>21</v>
      </c>
      <c r="H36" s="15">
        <f>+H11</f>
        <v>1891</v>
      </c>
      <c r="I36" s="15">
        <f>+I11</f>
        <v>4539.5740000000005</v>
      </c>
    </row>
    <row r="37" spans="7:9" x14ac:dyDescent="0.25">
      <c r="G37" s="5" t="s">
        <v>22</v>
      </c>
      <c r="H37" s="15" t="e">
        <f>+#REF!</f>
        <v>#REF!</v>
      </c>
      <c r="I37" s="15" t="e">
        <f>+#REF!</f>
        <v>#REF!</v>
      </c>
    </row>
    <row r="38" spans="7:9" x14ac:dyDescent="0.25">
      <c r="G38" s="5" t="s">
        <v>23</v>
      </c>
      <c r="H38" s="15" t="e">
        <f>+#REF!</f>
        <v>#REF!</v>
      </c>
      <c r="I38" s="15" t="e">
        <f>+#REF!</f>
        <v>#REF!</v>
      </c>
    </row>
    <row r="39" spans="7:9" x14ac:dyDescent="0.25">
      <c r="G39" s="5" t="s">
        <v>24</v>
      </c>
      <c r="H39" s="15" t="e">
        <f>+#REF!</f>
        <v>#REF!</v>
      </c>
      <c r="I39" s="15" t="e">
        <f>+#REF!</f>
        <v>#REF!</v>
      </c>
    </row>
    <row r="40" spans="7:9" x14ac:dyDescent="0.25">
      <c r="G40" s="5" t="s">
        <v>25</v>
      </c>
      <c r="H40" s="15">
        <f>+H14</f>
        <v>136</v>
      </c>
      <c r="I40" s="15">
        <f>+I14</f>
        <v>167.00984299999999</v>
      </c>
    </row>
    <row r="41" spans="7:9" x14ac:dyDescent="0.25">
      <c r="G41" s="5" t="s">
        <v>26</v>
      </c>
      <c r="H41" s="15">
        <f>+H9</f>
        <v>5784</v>
      </c>
      <c r="I41" s="15">
        <f>+I9</f>
        <v>12679.901157</v>
      </c>
    </row>
    <row r="42" spans="7:9" x14ac:dyDescent="0.25">
      <c r="G42" s="5" t="s">
        <v>27</v>
      </c>
      <c r="H42" s="15" t="e">
        <f>+#REF!</f>
        <v>#REF!</v>
      </c>
      <c r="I42" s="15" t="e">
        <f>+#REF!</f>
        <v>#REF!</v>
      </c>
    </row>
    <row r="43" spans="7:9" x14ac:dyDescent="0.25">
      <c r="G43" s="5" t="s">
        <v>28</v>
      </c>
      <c r="H43" s="15" t="e">
        <f>+#REF!</f>
        <v>#REF!</v>
      </c>
      <c r="I43" s="15" t="e">
        <f>+#REF!</f>
        <v>#REF!</v>
      </c>
    </row>
    <row r="44" spans="7:9" x14ac:dyDescent="0.25">
      <c r="G44" s="5" t="s">
        <v>29</v>
      </c>
      <c r="H44" s="15" t="e">
        <f>+#REF!</f>
        <v>#REF!</v>
      </c>
      <c r="I44" s="15" t="e">
        <f>+#REF!</f>
        <v>#REF!</v>
      </c>
    </row>
    <row r="45" spans="7:9" x14ac:dyDescent="0.25">
      <c r="G45" s="5" t="s">
        <v>30</v>
      </c>
      <c r="H45" s="15" t="e">
        <f>+#REF!</f>
        <v>#REF!</v>
      </c>
      <c r="I45" s="15" t="e">
        <f>+#REF!</f>
        <v>#REF!</v>
      </c>
    </row>
    <row r="46" spans="7:9" x14ac:dyDescent="0.25">
      <c r="G46" s="5" t="s">
        <v>31</v>
      </c>
      <c r="H46" s="15">
        <f>+H10</f>
        <v>3504</v>
      </c>
      <c r="I46" s="15">
        <f>+I10</f>
        <v>6659.8810000000003</v>
      </c>
    </row>
    <row r="47" spans="7:9" x14ac:dyDescent="0.25">
      <c r="G47" s="5" t="s">
        <v>32</v>
      </c>
      <c r="H47" s="15">
        <f>+H12</f>
        <v>2883</v>
      </c>
      <c r="I47" s="15">
        <f>+I12</f>
        <v>4706.6478352000004</v>
      </c>
    </row>
    <row r="48" spans="7:9" x14ac:dyDescent="0.25">
      <c r="G48" s="5" t="s">
        <v>33</v>
      </c>
      <c r="H48" s="15">
        <f>+H13</f>
        <v>2779</v>
      </c>
      <c r="I48" s="15">
        <f>+I13</f>
        <v>4594.9390000000003</v>
      </c>
    </row>
    <row r="49" spans="7:9" x14ac:dyDescent="0.25">
      <c r="G49" s="5" t="s">
        <v>34</v>
      </c>
      <c r="H49" s="15" t="e">
        <f>+#REF!</f>
        <v>#REF!</v>
      </c>
      <c r="I49" s="15" t="e">
        <f>+#REF!</f>
        <v>#REF!</v>
      </c>
    </row>
    <row r="50" spans="7:9" x14ac:dyDescent="0.25">
      <c r="G50" s="5" t="s">
        <v>35</v>
      </c>
      <c r="H50" s="15">
        <f>+H16</f>
        <v>17807</v>
      </c>
      <c r="I50" s="15">
        <f>+I16</f>
        <v>34590.051000000007</v>
      </c>
    </row>
    <row r="51" spans="7:9" x14ac:dyDescent="0.25">
      <c r="G51" s="5" t="s">
        <v>36</v>
      </c>
      <c r="H51" s="15" t="e">
        <f>+#REF!</f>
        <v>#REF!</v>
      </c>
      <c r="I51" s="15" t="e">
        <f>+#REF!</f>
        <v>#REF!</v>
      </c>
    </row>
    <row r="52" spans="7:9" x14ac:dyDescent="0.25">
      <c r="G52" s="5" t="s">
        <v>37</v>
      </c>
      <c r="H52" s="15" t="e">
        <f>+#REF!</f>
        <v>#REF!</v>
      </c>
      <c r="I52" s="15" t="e">
        <f>+#REF!</f>
        <v>#REF!</v>
      </c>
    </row>
  </sheetData>
  <autoFilter ref="G4:G16" xr:uid="{00000000-0001-0000-1200-000000000000}"/>
  <mergeCells count="7">
    <mergeCell ref="G1:N1"/>
    <mergeCell ref="G2:J2"/>
    <mergeCell ref="K2:N2"/>
    <mergeCell ref="H4:N5"/>
    <mergeCell ref="J6:J7"/>
    <mergeCell ref="K6:L6"/>
    <mergeCell ref="M6:N6"/>
  </mergeCells>
  <conditionalFormatting sqref="Y9:Y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00B050"/>
  </sheetPr>
  <dimension ref="A1:AM16"/>
  <sheetViews>
    <sheetView topLeftCell="E1" zoomScale="80" zoomScaleNormal="80" workbookViewId="0">
      <selection activeCell="Z21" sqref="Z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4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45" t="s">
        <v>2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7" t="str">
        <f>+NOMBRE!B7</f>
        <v>ENERO - MAYO 2024</v>
      </c>
      <c r="Y2" s="847"/>
      <c r="Z2" s="847"/>
      <c r="AA2" s="847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48" t="s">
        <v>524</v>
      </c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49"/>
      <c r="W4" s="849"/>
      <c r="X4" s="849"/>
      <c r="Y4" s="849"/>
      <c r="Z4" s="849"/>
      <c r="AA4" s="850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51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3"/>
      <c r="AB5" s="5"/>
      <c r="AC5" s="5"/>
      <c r="AE5" s="6"/>
      <c r="AG5" s="5"/>
      <c r="AH5" s="88" t="s">
        <v>46</v>
      </c>
      <c r="AI5" s="89">
        <f>meta3!AB2</f>
        <v>5</v>
      </c>
      <c r="AJ5" s="6"/>
      <c r="AL5" s="5"/>
    </row>
    <row r="6" spans="1:39" ht="43.5" customHeight="1" thickBot="1" x14ac:dyDescent="0.3">
      <c r="G6" s="58"/>
      <c r="H6" s="872" t="s">
        <v>4</v>
      </c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4"/>
      <c r="V6" s="61" t="s">
        <v>5</v>
      </c>
      <c r="W6" s="854" t="s">
        <v>6</v>
      </c>
      <c r="X6" s="856">
        <f>+NOMBRE!$B$9</f>
        <v>2024</v>
      </c>
      <c r="Y6" s="878"/>
      <c r="Z6" s="941" t="s">
        <v>7</v>
      </c>
      <c r="AA6" s="859"/>
      <c r="AB6" s="90" t="s">
        <v>47</v>
      </c>
      <c r="AC6" s="90" t="s">
        <v>48</v>
      </c>
      <c r="AD6" s="573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576" t="s">
        <v>55</v>
      </c>
      <c r="AL6" s="90" t="s">
        <v>56</v>
      </c>
    </row>
    <row r="7" spans="1:39" ht="69" customHeight="1" thickBot="1" x14ac:dyDescent="0.3">
      <c r="G7" s="609" t="s">
        <v>438</v>
      </c>
      <c r="H7" s="860" t="s">
        <v>133</v>
      </c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2"/>
      <c r="V7" s="11" t="s">
        <v>134</v>
      </c>
      <c r="W7" s="855"/>
      <c r="X7" s="12" t="s">
        <v>11</v>
      </c>
      <c r="Y7" s="12" t="s">
        <v>43</v>
      </c>
      <c r="Z7" s="14" t="s">
        <v>13</v>
      </c>
      <c r="AA7" s="14" t="s">
        <v>518</v>
      </c>
      <c r="AB7" s="91" t="s">
        <v>57</v>
      </c>
      <c r="AC7" s="91" t="s">
        <v>58</v>
      </c>
      <c r="AD7" s="497" t="s">
        <v>59</v>
      </c>
      <c r="AE7" s="501" t="s">
        <v>60</v>
      </c>
      <c r="AF7" s="501" t="s">
        <v>61</v>
      </c>
      <c r="AG7" s="501" t="s">
        <v>62</v>
      </c>
      <c r="AH7" s="501" t="s">
        <v>63</v>
      </c>
      <c r="AI7" s="501" t="s">
        <v>64</v>
      </c>
      <c r="AJ7" s="501" t="s">
        <v>65</v>
      </c>
      <c r="AK7" s="499" t="s">
        <v>66</v>
      </c>
      <c r="AL7" s="93" t="s">
        <v>67</v>
      </c>
    </row>
    <row r="8" spans="1:39" ht="17.25" customHeight="1" thickBot="1" x14ac:dyDescent="0.3">
      <c r="G8" s="440"/>
      <c r="H8" s="447"/>
      <c r="I8" s="453" t="s">
        <v>189</v>
      </c>
      <c r="J8" s="453" t="s">
        <v>190</v>
      </c>
      <c r="K8" s="453" t="s">
        <v>191</v>
      </c>
      <c r="L8" s="453" t="s">
        <v>192</v>
      </c>
      <c r="M8" s="453" t="s">
        <v>193</v>
      </c>
      <c r="N8" s="453" t="s">
        <v>194</v>
      </c>
      <c r="O8" s="453" t="s">
        <v>195</v>
      </c>
      <c r="P8" s="453" t="s">
        <v>196</v>
      </c>
      <c r="Q8" s="453" t="s">
        <v>428</v>
      </c>
      <c r="R8" s="453" t="s">
        <v>198</v>
      </c>
      <c r="S8" s="453" t="s">
        <v>199</v>
      </c>
      <c r="T8" s="453" t="s">
        <v>200</v>
      </c>
      <c r="U8" s="454" t="s">
        <v>201</v>
      </c>
      <c r="V8" s="11"/>
      <c r="W8" s="485"/>
      <c r="X8" s="486">
        <f>indicadores!E43</f>
        <v>0.95</v>
      </c>
      <c r="Y8" s="486">
        <f>indicadores!$D$54</f>
        <v>0.24</v>
      </c>
      <c r="Z8" s="477"/>
      <c r="AA8" s="477">
        <v>5.49</v>
      </c>
      <c r="AB8" s="94" t="s">
        <v>68</v>
      </c>
      <c r="AC8" s="94" t="s">
        <v>69</v>
      </c>
      <c r="AD8" s="94" t="s">
        <v>70</v>
      </c>
      <c r="AE8" s="495" t="s">
        <v>71</v>
      </c>
      <c r="AF8" s="495" t="s">
        <v>72</v>
      </c>
      <c r="AG8" s="495" t="s">
        <v>73</v>
      </c>
      <c r="AH8" s="495" t="s">
        <v>74</v>
      </c>
      <c r="AI8" s="495" t="s">
        <v>75</v>
      </c>
      <c r="AJ8" s="495" t="s">
        <v>76</v>
      </c>
      <c r="AK8" s="94" t="s">
        <v>77</v>
      </c>
      <c r="AL8" s="94" t="s">
        <v>78</v>
      </c>
    </row>
    <row r="9" spans="1:39" ht="15" customHeight="1" thickBot="1" x14ac:dyDescent="0.35">
      <c r="A9"/>
      <c r="B9"/>
      <c r="C9" s="64"/>
      <c r="D9" s="65"/>
      <c r="E9" s="66"/>
      <c r="F9" s="106"/>
      <c r="G9" s="19" t="s">
        <v>439</v>
      </c>
      <c r="H9" s="33"/>
      <c r="I9" s="33">
        <f>REMC!BW6</f>
        <v>21</v>
      </c>
      <c r="J9" s="33">
        <f>REMC!BX6</f>
        <v>21</v>
      </c>
      <c r="K9" s="33">
        <f>REMC!BY6</f>
        <v>27</v>
      </c>
      <c r="L9" s="33">
        <f>REMC!BZ6</f>
        <v>45</v>
      </c>
      <c r="M9" s="33">
        <f>REMC!CA6</f>
        <v>16</v>
      </c>
      <c r="N9" s="33">
        <f>REMC!CB6</f>
        <v>0</v>
      </c>
      <c r="O9" s="33">
        <f>REMC!CC6</f>
        <v>0</v>
      </c>
      <c r="P9" s="33">
        <f>REMC!CD6</f>
        <v>0</v>
      </c>
      <c r="Q9" s="33">
        <f>REMC!CE6</f>
        <v>0</v>
      </c>
      <c r="R9" s="33">
        <f>REMC!CF6</f>
        <v>0</v>
      </c>
      <c r="S9" s="33">
        <f>REMC!CG6</f>
        <v>0</v>
      </c>
      <c r="T9" s="33">
        <f>REMC!CH6</f>
        <v>0</v>
      </c>
      <c r="U9" s="532">
        <f>SUM(I9:T9)</f>
        <v>130</v>
      </c>
      <c r="V9" s="44">
        <f>Poblacion2024!AP6</f>
        <v>321.762</v>
      </c>
      <c r="W9" s="45">
        <f t="shared" ref="W9:W15" si="0">IF(V9=0,0,+U9/V9)</f>
        <v>0.40402533549642283</v>
      </c>
      <c r="X9" s="46">
        <f>X8</f>
        <v>0.95</v>
      </c>
      <c r="Y9" s="46">
        <f>+X9*$Y$8</f>
        <v>0.22799999999999998</v>
      </c>
      <c r="Z9" s="145">
        <f t="shared" ref="Z9:Z16" si="1">IF(+W9/Y9&gt;1,1,+W9/Y9)</f>
        <v>1</v>
      </c>
      <c r="AA9" s="77">
        <f>+Z9*$AA$8/100</f>
        <v>5.4900000000000004E-2</v>
      </c>
      <c r="AB9" s="146">
        <f>X9</f>
        <v>0.95</v>
      </c>
      <c r="AC9" s="146">
        <f>(AG9/AE9)</f>
        <v>0.40402533549642283</v>
      </c>
      <c r="AD9" s="498">
        <f>AC9/AB9</f>
        <v>0.42528982683833982</v>
      </c>
      <c r="AE9" s="502">
        <f>V9</f>
        <v>321.762</v>
      </c>
      <c r="AF9" s="503">
        <f>AE9*AB9</f>
        <v>305.6739</v>
      </c>
      <c r="AG9" s="502">
        <f>U9</f>
        <v>130</v>
      </c>
      <c r="AH9" s="503">
        <f>AF9/$AI$4</f>
        <v>25.472825</v>
      </c>
      <c r="AI9" s="503">
        <f>AH9*$AI$5</f>
        <v>127.364125</v>
      </c>
      <c r="AJ9" s="503">
        <f>U9</f>
        <v>130</v>
      </c>
      <c r="AK9" s="500">
        <f>AJ9/AI9</f>
        <v>1.0206955844120156</v>
      </c>
      <c r="AL9" s="431">
        <f>(AI9-AJ9)*-1</f>
        <v>2.6358749999999986</v>
      </c>
    </row>
    <row r="10" spans="1:39" ht="15" customHeight="1" thickBot="1" x14ac:dyDescent="0.35">
      <c r="A10"/>
      <c r="B10"/>
      <c r="C10" s="64"/>
      <c r="D10" s="65"/>
      <c r="E10" s="66"/>
      <c r="F10" s="106"/>
      <c r="G10" s="19" t="s">
        <v>440</v>
      </c>
      <c r="H10" s="38"/>
      <c r="I10" s="38">
        <f>REMC!BW7</f>
        <v>25</v>
      </c>
      <c r="J10" s="38">
        <f>REMC!BX7</f>
        <v>14</v>
      </c>
      <c r="K10" s="38">
        <f>REMC!BY7</f>
        <v>23</v>
      </c>
      <c r="L10" s="38">
        <f>REMC!BZ7</f>
        <v>18</v>
      </c>
      <c r="M10" s="38">
        <f>REMC!CA7</f>
        <v>14</v>
      </c>
      <c r="N10" s="38">
        <f>REMC!CB7</f>
        <v>0</v>
      </c>
      <c r="O10" s="38">
        <f>REMC!CC7</f>
        <v>0</v>
      </c>
      <c r="P10" s="38">
        <f>REMC!CD7</f>
        <v>0</v>
      </c>
      <c r="Q10" s="38">
        <f>REMC!CE7</f>
        <v>0</v>
      </c>
      <c r="R10" s="38">
        <f>REMC!CF7</f>
        <v>0</v>
      </c>
      <c r="S10" s="38">
        <f>REMC!CG7</f>
        <v>0</v>
      </c>
      <c r="T10" s="38">
        <f>REMC!CH7</f>
        <v>0</v>
      </c>
      <c r="U10" s="532">
        <f t="shared" ref="U10:U16" si="2">SUM(I10:T10)</f>
        <v>94</v>
      </c>
      <c r="V10" s="38">
        <f>Poblacion2024!AP7</f>
        <v>106</v>
      </c>
      <c r="W10" s="40">
        <f t="shared" si="0"/>
        <v>0.8867924528301887</v>
      </c>
      <c r="X10" s="42">
        <f t="shared" ref="X10:X16" si="3">X9</f>
        <v>0.95</v>
      </c>
      <c r="Y10" s="46">
        <f t="shared" ref="Y10:Y16" si="4">+X10*$Y$8</f>
        <v>0.22799999999999998</v>
      </c>
      <c r="Z10" s="113">
        <f t="shared" si="1"/>
        <v>1</v>
      </c>
      <c r="AA10" s="77">
        <f t="shared" ref="AA10:AA16" si="5">+Z10*$AA$8/100</f>
        <v>5.4900000000000004E-2</v>
      </c>
      <c r="AB10" s="146">
        <f t="shared" ref="AB10:AB16" si="6">X10</f>
        <v>0.95</v>
      </c>
      <c r="AC10" s="146">
        <f t="shared" ref="AC10:AC16" si="7">(AG10/AE10)</f>
        <v>0.8867924528301887</v>
      </c>
      <c r="AD10" s="498">
        <f t="shared" ref="AD10:AD16" si="8">AC10/AB10</f>
        <v>0.93346573982125136</v>
      </c>
      <c r="AE10" s="502">
        <f t="shared" ref="AE10:AE16" si="9">V10</f>
        <v>106</v>
      </c>
      <c r="AF10" s="503">
        <f t="shared" ref="AF10:AF16" si="10">AE10*AB10</f>
        <v>100.69999999999999</v>
      </c>
      <c r="AG10" s="502">
        <f t="shared" ref="AG10:AG16" si="11">U10</f>
        <v>94</v>
      </c>
      <c r="AH10" s="503">
        <f t="shared" ref="AH10:AH16" si="12">AF10/$AI$4</f>
        <v>8.3916666666666657</v>
      </c>
      <c r="AI10" s="503">
        <f t="shared" ref="AI10:AI16" si="13">AH10*$AI$5</f>
        <v>41.958333333333329</v>
      </c>
      <c r="AJ10" s="503">
        <f t="shared" ref="AJ10:AJ16" si="14">U10</f>
        <v>94</v>
      </c>
      <c r="AK10" s="500">
        <f t="shared" ref="AK10:AK16" si="15">AJ10/AI10</f>
        <v>2.2403177755710031</v>
      </c>
      <c r="AL10" s="431">
        <f t="shared" ref="AL10:AL16" si="16">(AI10-AJ10)*-1</f>
        <v>52.041666666666671</v>
      </c>
    </row>
    <row r="11" spans="1:39" ht="15" customHeight="1" thickBot="1" x14ac:dyDescent="0.35">
      <c r="A11"/>
      <c r="B11"/>
      <c r="C11" s="64"/>
      <c r="D11" s="65"/>
      <c r="E11" s="66"/>
      <c r="F11" s="106"/>
      <c r="G11" s="19" t="s">
        <v>441</v>
      </c>
      <c r="H11" s="38"/>
      <c r="I11" s="38">
        <f>REMC!BW8</f>
        <v>26</v>
      </c>
      <c r="J11" s="38">
        <f>REMC!BX8</f>
        <v>22</v>
      </c>
      <c r="K11" s="38">
        <f>REMC!BY8</f>
        <v>38</v>
      </c>
      <c r="L11" s="38">
        <f>REMC!BZ8</f>
        <v>29</v>
      </c>
      <c r="M11" s="38">
        <f>REMC!CA8</f>
        <v>30</v>
      </c>
      <c r="N11" s="38">
        <f>REMC!CB8</f>
        <v>0</v>
      </c>
      <c r="O11" s="38">
        <f>REMC!CC8</f>
        <v>0</v>
      </c>
      <c r="P11" s="38">
        <f>REMC!CD8</f>
        <v>0</v>
      </c>
      <c r="Q11" s="38">
        <f>REMC!CE8</f>
        <v>0</v>
      </c>
      <c r="R11" s="38">
        <f>REMC!CF8</f>
        <v>0</v>
      </c>
      <c r="S11" s="38">
        <f>REMC!CG8</f>
        <v>0</v>
      </c>
      <c r="T11" s="38">
        <f>REMC!CH8</f>
        <v>0</v>
      </c>
      <c r="U11" s="532">
        <f t="shared" si="2"/>
        <v>145</v>
      </c>
      <c r="V11" s="38">
        <f>Poblacion2024!AP8</f>
        <v>496</v>
      </c>
      <c r="W11" s="40">
        <f t="shared" si="0"/>
        <v>0.29233870967741937</v>
      </c>
      <c r="X11" s="42">
        <f t="shared" si="3"/>
        <v>0.95</v>
      </c>
      <c r="Y11" s="46">
        <f t="shared" si="4"/>
        <v>0.22799999999999998</v>
      </c>
      <c r="Z11" s="113">
        <f t="shared" si="1"/>
        <v>1</v>
      </c>
      <c r="AA11" s="77">
        <f t="shared" si="5"/>
        <v>5.4900000000000004E-2</v>
      </c>
      <c r="AB11" s="146">
        <f t="shared" si="6"/>
        <v>0.95</v>
      </c>
      <c r="AC11" s="146">
        <f t="shared" si="7"/>
        <v>0.29233870967741937</v>
      </c>
      <c r="AD11" s="498">
        <f t="shared" si="8"/>
        <v>0.30772495755517831</v>
      </c>
      <c r="AE11" s="502">
        <f t="shared" si="9"/>
        <v>496</v>
      </c>
      <c r="AF11" s="503">
        <f t="shared" si="10"/>
        <v>471.2</v>
      </c>
      <c r="AG11" s="502">
        <f t="shared" si="11"/>
        <v>145</v>
      </c>
      <c r="AH11" s="503">
        <f t="shared" si="12"/>
        <v>39.266666666666666</v>
      </c>
      <c r="AI11" s="503">
        <f t="shared" si="13"/>
        <v>196.33333333333331</v>
      </c>
      <c r="AJ11" s="503">
        <f t="shared" si="14"/>
        <v>145</v>
      </c>
      <c r="AK11" s="500">
        <f t="shared" si="15"/>
        <v>0.73853989813242793</v>
      </c>
      <c r="AL11" s="431">
        <f t="shared" si="16"/>
        <v>-51.333333333333314</v>
      </c>
    </row>
    <row r="12" spans="1:39" ht="15" customHeight="1" thickBot="1" x14ac:dyDescent="0.35">
      <c r="A12"/>
      <c r="B12"/>
      <c r="C12" s="64"/>
      <c r="D12" s="65"/>
      <c r="E12" s="66"/>
      <c r="F12" s="106"/>
      <c r="G12" s="19" t="s">
        <v>442</v>
      </c>
      <c r="H12" s="38"/>
      <c r="I12" s="38">
        <f>REMC!BW9</f>
        <v>39</v>
      </c>
      <c r="J12" s="38">
        <f>REMC!BX9</f>
        <v>33</v>
      </c>
      <c r="K12" s="38">
        <f>REMC!BY9</f>
        <v>30</v>
      </c>
      <c r="L12" s="38">
        <f>REMC!BZ9</f>
        <v>25</v>
      </c>
      <c r="M12" s="38">
        <f>REMC!CA9</f>
        <v>21</v>
      </c>
      <c r="N12" s="38">
        <f>REMC!CB9</f>
        <v>0</v>
      </c>
      <c r="O12" s="38">
        <f>REMC!CC9</f>
        <v>0</v>
      </c>
      <c r="P12" s="38">
        <f>REMC!CD9</f>
        <v>0</v>
      </c>
      <c r="Q12" s="38">
        <f>REMC!CE9</f>
        <v>0</v>
      </c>
      <c r="R12" s="38">
        <f>REMC!CF9</f>
        <v>0</v>
      </c>
      <c r="S12" s="38">
        <f>REMC!CG9</f>
        <v>0</v>
      </c>
      <c r="T12" s="38">
        <f>REMC!CH9</f>
        <v>0</v>
      </c>
      <c r="U12" s="532">
        <f t="shared" si="2"/>
        <v>148</v>
      </c>
      <c r="V12" s="38">
        <f>Poblacion2024!AP9</f>
        <v>304.61200000000002</v>
      </c>
      <c r="W12" s="40">
        <f>IF(V12=0,0,+U12/V12)</f>
        <v>0.48586398434730077</v>
      </c>
      <c r="X12" s="42">
        <f t="shared" si="3"/>
        <v>0.95</v>
      </c>
      <c r="Y12" s="46">
        <f t="shared" si="4"/>
        <v>0.22799999999999998</v>
      </c>
      <c r="Z12" s="113">
        <f t="shared" si="1"/>
        <v>1</v>
      </c>
      <c r="AA12" s="77">
        <f t="shared" si="5"/>
        <v>5.4900000000000004E-2</v>
      </c>
      <c r="AB12" s="146">
        <f t="shared" si="6"/>
        <v>0.95</v>
      </c>
      <c r="AC12" s="146">
        <f t="shared" si="7"/>
        <v>0.48586398434730077</v>
      </c>
      <c r="AD12" s="498">
        <f t="shared" si="8"/>
        <v>0.5114357729971587</v>
      </c>
      <c r="AE12" s="502">
        <f t="shared" si="9"/>
        <v>304.61200000000002</v>
      </c>
      <c r="AF12" s="503">
        <f t="shared" si="10"/>
        <v>289.38139999999999</v>
      </c>
      <c r="AG12" s="502">
        <f t="shared" si="11"/>
        <v>148</v>
      </c>
      <c r="AH12" s="503">
        <f t="shared" si="12"/>
        <v>24.115116666666665</v>
      </c>
      <c r="AI12" s="503">
        <f t="shared" si="13"/>
        <v>120.57558333333333</v>
      </c>
      <c r="AJ12" s="503">
        <f t="shared" si="14"/>
        <v>148</v>
      </c>
      <c r="AK12" s="500">
        <f t="shared" si="15"/>
        <v>1.2274458551931811</v>
      </c>
      <c r="AL12" s="431">
        <f t="shared" si="16"/>
        <v>27.424416666666673</v>
      </c>
    </row>
    <row r="13" spans="1:39" ht="15" customHeight="1" thickBot="1" x14ac:dyDescent="0.35">
      <c r="A13"/>
      <c r="B13"/>
      <c r="C13" s="64"/>
      <c r="D13" s="65"/>
      <c r="E13" s="66"/>
      <c r="F13" s="106"/>
      <c r="G13" s="19" t="s">
        <v>443</v>
      </c>
      <c r="H13" s="38"/>
      <c r="I13" s="38">
        <f>REMC!BW10</f>
        <v>11</v>
      </c>
      <c r="J13" s="38">
        <f>REMC!BX10</f>
        <v>9</v>
      </c>
      <c r="K13" s="38">
        <f>REMC!BY10</f>
        <v>6</v>
      </c>
      <c r="L13" s="38">
        <f>REMC!BZ10</f>
        <v>14</v>
      </c>
      <c r="M13" s="38">
        <f>REMC!CA10</f>
        <v>19</v>
      </c>
      <c r="N13" s="38">
        <f>REMC!CB10</f>
        <v>0</v>
      </c>
      <c r="O13" s="38">
        <f>REMC!CC10</f>
        <v>0</v>
      </c>
      <c r="P13" s="38">
        <f>REMC!CD10</f>
        <v>0</v>
      </c>
      <c r="Q13" s="38">
        <f>REMC!CE10</f>
        <v>0</v>
      </c>
      <c r="R13" s="38">
        <f>REMC!CF10</f>
        <v>0</v>
      </c>
      <c r="S13" s="38">
        <f>REMC!CG10</f>
        <v>0</v>
      </c>
      <c r="T13" s="38">
        <f>REMC!CH10</f>
        <v>0</v>
      </c>
      <c r="U13" s="532">
        <f t="shared" si="2"/>
        <v>59</v>
      </c>
      <c r="V13" s="38">
        <f>Poblacion2024!AP10</f>
        <v>312</v>
      </c>
      <c r="W13" s="40">
        <f t="shared" si="0"/>
        <v>0.1891025641025641</v>
      </c>
      <c r="X13" s="42">
        <f t="shared" si="3"/>
        <v>0.95</v>
      </c>
      <c r="Y13" s="46">
        <f t="shared" si="4"/>
        <v>0.22799999999999998</v>
      </c>
      <c r="Z13" s="113">
        <f t="shared" si="1"/>
        <v>0.82939721097615837</v>
      </c>
      <c r="AA13" s="77">
        <f t="shared" si="5"/>
        <v>4.5533906882591096E-2</v>
      </c>
      <c r="AB13" s="146">
        <f t="shared" si="6"/>
        <v>0.95</v>
      </c>
      <c r="AC13" s="146">
        <f t="shared" si="7"/>
        <v>0.1891025641025641</v>
      </c>
      <c r="AD13" s="498">
        <f t="shared" si="8"/>
        <v>0.19905533063427799</v>
      </c>
      <c r="AE13" s="502">
        <f t="shared" si="9"/>
        <v>312</v>
      </c>
      <c r="AF13" s="503">
        <f t="shared" si="10"/>
        <v>296.39999999999998</v>
      </c>
      <c r="AG13" s="502">
        <f t="shared" si="11"/>
        <v>59</v>
      </c>
      <c r="AH13" s="503">
        <f t="shared" si="12"/>
        <v>24.7</v>
      </c>
      <c r="AI13" s="503">
        <f t="shared" si="13"/>
        <v>123.5</v>
      </c>
      <c r="AJ13" s="503">
        <f t="shared" si="14"/>
        <v>59</v>
      </c>
      <c r="AK13" s="500">
        <f t="shared" si="15"/>
        <v>0.47773279352226722</v>
      </c>
      <c r="AL13" s="431">
        <f t="shared" si="16"/>
        <v>-64.5</v>
      </c>
    </row>
    <row r="14" spans="1:39" ht="15" customHeight="1" thickBot="1" x14ac:dyDescent="0.35">
      <c r="A14"/>
      <c r="B14"/>
      <c r="C14" s="64"/>
      <c r="D14" s="65"/>
      <c r="E14" s="66"/>
      <c r="F14" s="106"/>
      <c r="G14" s="19" t="s">
        <v>444</v>
      </c>
      <c r="H14" s="38"/>
      <c r="I14" s="38">
        <f>REMC!BW11</f>
        <v>0</v>
      </c>
      <c r="J14" s="38">
        <f>REMC!BX11</f>
        <v>0</v>
      </c>
      <c r="K14" s="38">
        <f>REMC!BY11</f>
        <v>1</v>
      </c>
      <c r="L14" s="38">
        <f>REMC!BZ11</f>
        <v>1</v>
      </c>
      <c r="M14" s="38">
        <f>REMC!CA11</f>
        <v>0</v>
      </c>
      <c r="N14" s="38">
        <f>REMC!CB11</f>
        <v>0</v>
      </c>
      <c r="O14" s="38">
        <f>REMC!CC11</f>
        <v>0</v>
      </c>
      <c r="P14" s="38">
        <f>REMC!CD11</f>
        <v>0</v>
      </c>
      <c r="Q14" s="38">
        <f>REMC!CE11</f>
        <v>0</v>
      </c>
      <c r="R14" s="38">
        <f>REMC!CF11</f>
        <v>0</v>
      </c>
      <c r="S14" s="38">
        <f>REMC!CG11</f>
        <v>0</v>
      </c>
      <c r="T14" s="38">
        <f>REMC!CH11</f>
        <v>0</v>
      </c>
      <c r="U14" s="532">
        <f t="shared" si="2"/>
        <v>2</v>
      </c>
      <c r="V14" s="38">
        <f>Poblacion2024!AP11</f>
        <v>4.2379999999999995</v>
      </c>
      <c r="W14" s="40">
        <f t="shared" si="0"/>
        <v>0.47192071731949037</v>
      </c>
      <c r="X14" s="42">
        <f t="shared" si="3"/>
        <v>0.95</v>
      </c>
      <c r="Y14" s="46">
        <f t="shared" si="4"/>
        <v>0.22799999999999998</v>
      </c>
      <c r="Z14" s="113">
        <f t="shared" si="1"/>
        <v>1</v>
      </c>
      <c r="AA14" s="77">
        <f t="shared" si="5"/>
        <v>5.4900000000000004E-2</v>
      </c>
      <c r="AB14" s="146">
        <f t="shared" si="6"/>
        <v>0.95</v>
      </c>
      <c r="AC14" s="146">
        <f t="shared" si="7"/>
        <v>0.47192071731949037</v>
      </c>
      <c r="AD14" s="498">
        <f t="shared" si="8"/>
        <v>0.49675864980998991</v>
      </c>
      <c r="AE14" s="502">
        <f t="shared" si="9"/>
        <v>4.2379999999999995</v>
      </c>
      <c r="AF14" s="503">
        <f t="shared" si="10"/>
        <v>4.0260999999999996</v>
      </c>
      <c r="AG14" s="502">
        <f t="shared" si="11"/>
        <v>2</v>
      </c>
      <c r="AH14" s="503">
        <f t="shared" si="12"/>
        <v>0.3355083333333333</v>
      </c>
      <c r="AI14" s="503">
        <f t="shared" si="13"/>
        <v>1.6775416666666665</v>
      </c>
      <c r="AJ14" s="503">
        <f t="shared" si="14"/>
        <v>2</v>
      </c>
      <c r="AK14" s="500">
        <f t="shared" si="15"/>
        <v>1.1922207595439758</v>
      </c>
      <c r="AL14" s="431">
        <f t="shared" si="16"/>
        <v>0.32245833333333351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445</v>
      </c>
      <c r="H15" s="52"/>
      <c r="I15" s="52">
        <f>REMC!BW12</f>
        <v>6</v>
      </c>
      <c r="J15" s="52">
        <f>REMC!BX12</f>
        <v>6</v>
      </c>
      <c r="K15" s="52">
        <f>REMC!BY12</f>
        <v>6</v>
      </c>
      <c r="L15" s="52">
        <f>REMC!BZ12</f>
        <v>1</v>
      </c>
      <c r="M15" s="52">
        <f>REMC!CA12</f>
        <v>7</v>
      </c>
      <c r="N15" s="52">
        <f>REMC!CB12</f>
        <v>0</v>
      </c>
      <c r="O15" s="52">
        <f>REMC!CC12</f>
        <v>0</v>
      </c>
      <c r="P15" s="52">
        <f>REMC!CD12</f>
        <v>0</v>
      </c>
      <c r="Q15" s="52">
        <f>REMC!CE12</f>
        <v>0</v>
      </c>
      <c r="R15" s="52">
        <f>REMC!CF12</f>
        <v>0</v>
      </c>
      <c r="S15" s="52">
        <f>REMC!CG12</f>
        <v>0</v>
      </c>
      <c r="T15" s="52">
        <f>REMC!CH12</f>
        <v>0</v>
      </c>
      <c r="U15" s="571">
        <f t="shared" si="2"/>
        <v>26</v>
      </c>
      <c r="V15" s="52">
        <f>Poblacion2024!AP12</f>
        <v>80.388000000000005</v>
      </c>
      <c r="W15" s="54">
        <f t="shared" si="0"/>
        <v>0.32343135791411654</v>
      </c>
      <c r="X15" s="55">
        <f t="shared" si="3"/>
        <v>0.95</v>
      </c>
      <c r="Y15" s="763">
        <f t="shared" si="4"/>
        <v>0.22799999999999998</v>
      </c>
      <c r="Z15" s="116">
        <f t="shared" si="1"/>
        <v>1</v>
      </c>
      <c r="AA15" s="77">
        <f t="shared" si="5"/>
        <v>5.4900000000000004E-2</v>
      </c>
      <c r="AB15" s="545">
        <f t="shared" si="6"/>
        <v>0.95</v>
      </c>
      <c r="AC15" s="545">
        <f t="shared" si="7"/>
        <v>0.32343135791411654</v>
      </c>
      <c r="AD15" s="574">
        <f t="shared" si="8"/>
        <v>0.34045406096222797</v>
      </c>
      <c r="AE15" s="502">
        <f t="shared" si="9"/>
        <v>80.388000000000005</v>
      </c>
      <c r="AF15" s="503">
        <f t="shared" si="10"/>
        <v>76.368600000000001</v>
      </c>
      <c r="AG15" s="502">
        <f t="shared" si="11"/>
        <v>26</v>
      </c>
      <c r="AH15" s="503">
        <f t="shared" si="12"/>
        <v>6.3640499999999998</v>
      </c>
      <c r="AI15" s="503">
        <f t="shared" si="13"/>
        <v>31.820249999999998</v>
      </c>
      <c r="AJ15" s="503">
        <f t="shared" si="14"/>
        <v>26</v>
      </c>
      <c r="AK15" s="577">
        <f t="shared" si="15"/>
        <v>0.81708974630934705</v>
      </c>
      <c r="AL15" s="431">
        <f t="shared" si="16"/>
        <v>-5.8202499999999979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4" t="s">
        <v>15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0</v>
      </c>
      <c r="O16" s="30">
        <f t="shared" si="17"/>
        <v>0</v>
      </c>
      <c r="P16" s="30">
        <f t="shared" si="17"/>
        <v>0</v>
      </c>
      <c r="Q16" s="30">
        <f t="shared" si="17"/>
        <v>0</v>
      </c>
      <c r="R16" s="30">
        <f t="shared" si="17"/>
        <v>0</v>
      </c>
      <c r="S16" s="30">
        <f t="shared" si="17"/>
        <v>0</v>
      </c>
      <c r="T16" s="30">
        <f t="shared" si="17"/>
        <v>0</v>
      </c>
      <c r="U16" s="557">
        <f t="shared" si="2"/>
        <v>604</v>
      </c>
      <c r="V16" s="30">
        <f>SUM(V9:V15)</f>
        <v>1625</v>
      </c>
      <c r="W16" s="481">
        <f>IF(V16=0,0,+U16/V16)</f>
        <v>0.37169230769230771</v>
      </c>
      <c r="X16" s="681">
        <f t="shared" si="3"/>
        <v>0.95</v>
      </c>
      <c r="Y16" s="512">
        <f t="shared" si="4"/>
        <v>0.22799999999999998</v>
      </c>
      <c r="Z16" s="513">
        <f t="shared" si="1"/>
        <v>1</v>
      </c>
      <c r="AA16" s="514">
        <f t="shared" si="5"/>
        <v>5.4900000000000004E-2</v>
      </c>
      <c r="AB16" s="572">
        <f t="shared" si="6"/>
        <v>0.95</v>
      </c>
      <c r="AC16" s="548">
        <f t="shared" si="7"/>
        <v>0.37169230769230771</v>
      </c>
      <c r="AD16" s="575">
        <f t="shared" si="8"/>
        <v>0.391255060728745</v>
      </c>
      <c r="AE16" s="502">
        <f t="shared" si="9"/>
        <v>1625</v>
      </c>
      <c r="AF16" s="503">
        <f t="shared" si="10"/>
        <v>1543.75</v>
      </c>
      <c r="AG16" s="502">
        <f t="shared" si="11"/>
        <v>604</v>
      </c>
      <c r="AH16" s="503">
        <f t="shared" si="12"/>
        <v>128.64583333333334</v>
      </c>
      <c r="AI16" s="503">
        <f t="shared" si="13"/>
        <v>643.22916666666674</v>
      </c>
      <c r="AJ16" s="503">
        <f t="shared" si="14"/>
        <v>604</v>
      </c>
      <c r="AK16" s="578">
        <f t="shared" si="15"/>
        <v>0.93901214574898773</v>
      </c>
      <c r="AL16" s="431">
        <f t="shared" si="16"/>
        <v>-39.229166666666742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Y19"/>
  <sheetViews>
    <sheetView tabSelected="1" topLeftCell="G1" zoomScale="85" zoomScaleNormal="85" workbookViewId="0">
      <selection activeCell="R27" sqref="R2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8" width="26.4257812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7" customWidth="1"/>
    <col min="15" max="15" width="8" style="57" customWidth="1"/>
    <col min="16" max="16" width="10" style="57" bestFit="1" customWidth="1"/>
    <col min="17" max="19" width="11.42578125" style="5"/>
    <col min="20" max="20" width="10.42578125" style="57" customWidth="1"/>
    <col min="21" max="16384" width="11.42578125" style="5"/>
  </cols>
  <sheetData>
    <row r="1" spans="1:25" s="2" customFormat="1" ht="44.25" customHeight="1" x14ac:dyDescent="0.45">
      <c r="E1" s="3"/>
      <c r="F1" s="101"/>
      <c r="G1" s="844" t="s">
        <v>0</v>
      </c>
      <c r="H1" s="844"/>
      <c r="I1" s="844"/>
      <c r="J1" s="844"/>
      <c r="K1" s="844"/>
      <c r="L1" s="844"/>
      <c r="M1" s="844"/>
      <c r="N1" s="844"/>
      <c r="O1" s="56"/>
      <c r="P1" s="56"/>
      <c r="T1" s="56"/>
    </row>
    <row r="2" spans="1:25" s="2" customFormat="1" ht="23.25" customHeight="1" x14ac:dyDescent="0.45">
      <c r="E2" s="3"/>
      <c r="F2" s="101"/>
      <c r="G2" s="845" t="s">
        <v>2</v>
      </c>
      <c r="H2" s="846"/>
      <c r="I2" s="846"/>
      <c r="J2" s="846"/>
      <c r="K2" s="847" t="str">
        <f>+NOMBRE!B7</f>
        <v>ENERO - MAYO 2024</v>
      </c>
      <c r="L2" s="847"/>
      <c r="M2" s="847"/>
      <c r="N2" s="847"/>
      <c r="O2" s="56"/>
      <c r="P2" s="56"/>
      <c r="T2" s="56"/>
    </row>
    <row r="3" spans="1:25" ht="27.75" customHeight="1" thickBot="1" x14ac:dyDescent="0.3">
      <c r="O3" s="5"/>
      <c r="P3" s="5"/>
      <c r="R3" s="6"/>
      <c r="T3" s="5"/>
      <c r="U3" s="88" t="s">
        <v>45</v>
      </c>
      <c r="V3" s="89">
        <v>12</v>
      </c>
      <c r="W3" s="6"/>
      <c r="X3" s="6"/>
    </row>
    <row r="4" spans="1:25" ht="15" customHeight="1" x14ac:dyDescent="0.25">
      <c r="G4" s="58"/>
      <c r="H4" s="848" t="s">
        <v>525</v>
      </c>
      <c r="I4" s="849"/>
      <c r="J4" s="849"/>
      <c r="K4" s="849"/>
      <c r="L4" s="849"/>
      <c r="M4" s="849"/>
      <c r="N4" s="850"/>
      <c r="O4" s="5"/>
      <c r="P4" s="5"/>
      <c r="R4" s="6"/>
      <c r="T4" s="5"/>
      <c r="U4" s="88" t="s">
        <v>46</v>
      </c>
      <c r="V4" s="89">
        <f>meta3!AB2</f>
        <v>5</v>
      </c>
      <c r="W4" s="6"/>
    </row>
    <row r="5" spans="1:25" ht="23.25" customHeight="1" thickBot="1" x14ac:dyDescent="0.3">
      <c r="G5" s="58"/>
      <c r="H5" s="851"/>
      <c r="I5" s="852"/>
      <c r="J5" s="852"/>
      <c r="K5" s="852"/>
      <c r="L5" s="852"/>
      <c r="M5" s="852"/>
      <c r="N5" s="853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47.25" customHeight="1" thickBot="1" x14ac:dyDescent="0.3">
      <c r="G6" s="58"/>
      <c r="H6" s="7" t="s">
        <v>4</v>
      </c>
      <c r="I6" s="8" t="s">
        <v>5</v>
      </c>
      <c r="J6" s="854" t="s">
        <v>6</v>
      </c>
      <c r="K6" s="856">
        <f>+NOMBRE!$B$9</f>
        <v>2024</v>
      </c>
      <c r="L6" s="857"/>
      <c r="M6" s="858" t="s">
        <v>7</v>
      </c>
      <c r="N6" s="859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71.25" customHeight="1" thickBot="1" x14ac:dyDescent="0.3">
      <c r="G7" s="609" t="s">
        <v>438</v>
      </c>
      <c r="H7" s="220" t="s">
        <v>135</v>
      </c>
      <c r="I7" s="11" t="s">
        <v>136</v>
      </c>
      <c r="J7" s="855"/>
      <c r="K7" s="12" t="s">
        <v>11</v>
      </c>
      <c r="L7" s="13" t="s">
        <v>12</v>
      </c>
      <c r="M7" s="14" t="s">
        <v>13</v>
      </c>
      <c r="N7" s="14" t="s">
        <v>516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36" customHeight="1" thickBot="1" x14ac:dyDescent="0.3">
      <c r="G8" s="672"/>
      <c r="H8" s="678"/>
      <c r="I8" s="442"/>
      <c r="J8" s="673"/>
      <c r="K8" s="486">
        <f>indicadores!E44</f>
        <v>0.65900000000000003</v>
      </c>
      <c r="L8" s="496">
        <f>indicadores!$D$54</f>
        <v>0.24</v>
      </c>
      <c r="M8" s="444"/>
      <c r="N8" s="774">
        <v>4.4000000000000004</v>
      </c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</row>
    <row r="9" spans="1:25" ht="15" customHeight="1" thickBot="1" x14ac:dyDescent="0.35">
      <c r="A9" s="214"/>
      <c r="B9" s="214"/>
      <c r="C9" s="64"/>
      <c r="D9" s="65"/>
      <c r="E9" s="66"/>
      <c r="F9" s="106"/>
      <c r="G9" s="19" t="s">
        <v>439</v>
      </c>
      <c r="H9" s="34">
        <f>REMP!N6</f>
        <v>655</v>
      </c>
      <c r="I9" s="34">
        <f>Poblacion2024!AR6</f>
        <v>675.10799999999995</v>
      </c>
      <c r="J9" s="221">
        <f t="shared" ref="J9:J16" si="0">IF(I9=0,0,+H9/I9)</f>
        <v>0.97021513594861863</v>
      </c>
      <c r="K9" s="46">
        <f>$K$8</f>
        <v>0.65900000000000003</v>
      </c>
      <c r="L9" s="46">
        <f>+K9*$L$8</f>
        <v>0.15816</v>
      </c>
      <c r="M9" s="110">
        <f t="shared" ref="M9:M16" si="1">IF(+J9/L9&gt;1,1,+J9/L9)</f>
        <v>1</v>
      </c>
      <c r="N9" s="17">
        <f>+M9*$N$8/100</f>
        <v>4.4000000000000004E-2</v>
      </c>
      <c r="O9" s="146">
        <f>K9</f>
        <v>0.65900000000000003</v>
      </c>
      <c r="P9" s="146">
        <f>(T9/R9)</f>
        <v>0.97021513594861863</v>
      </c>
      <c r="Q9" s="147">
        <f>P9/O9</f>
        <v>1.4722536205593606</v>
      </c>
      <c r="R9" s="97">
        <f>I9</f>
        <v>675.10799999999995</v>
      </c>
      <c r="S9" s="98">
        <f>R9*O9</f>
        <v>444.89617199999998</v>
      </c>
      <c r="T9" s="97">
        <f>H9</f>
        <v>655</v>
      </c>
      <c r="U9" s="98">
        <f>S9/$V$3</f>
        <v>37.074680999999998</v>
      </c>
      <c r="V9" s="98">
        <f>U9*$V$4</f>
        <v>185.37340499999999</v>
      </c>
      <c r="W9" s="98">
        <f>H9</f>
        <v>655</v>
      </c>
      <c r="X9" s="99">
        <f>W9/V9</f>
        <v>3.5334086893424654</v>
      </c>
      <c r="Y9" s="431">
        <f>(V9-W9)*-1</f>
        <v>469.62659500000001</v>
      </c>
    </row>
    <row r="10" spans="1:25" ht="15" customHeight="1" thickBot="1" x14ac:dyDescent="0.35">
      <c r="A10" s="214"/>
      <c r="B10" s="214"/>
      <c r="C10" s="64"/>
      <c r="D10" s="65"/>
      <c r="E10" s="66"/>
      <c r="F10" s="106"/>
      <c r="G10" s="19" t="s">
        <v>440</v>
      </c>
      <c r="H10" s="39">
        <f>REMP!N7</f>
        <v>603</v>
      </c>
      <c r="I10" s="39">
        <f>Poblacion2024!AR7</f>
        <v>362</v>
      </c>
      <c r="J10" s="222">
        <f t="shared" si="0"/>
        <v>1.6657458563535912</v>
      </c>
      <c r="K10" s="42">
        <f t="shared" ref="K10:K16" si="2">$K$8</f>
        <v>0.65900000000000003</v>
      </c>
      <c r="L10" s="42">
        <f t="shared" ref="L10:L16" si="3">+K10*$L$8</f>
        <v>0.15816</v>
      </c>
      <c r="M10" s="113">
        <f t="shared" si="1"/>
        <v>1</v>
      </c>
      <c r="N10" s="17">
        <f t="shared" ref="N10:N16" si="4">+M10*$N$8/100</f>
        <v>4.4000000000000004E-2</v>
      </c>
      <c r="O10" s="146">
        <f t="shared" ref="O10:O16" si="5">K10</f>
        <v>0.65900000000000003</v>
      </c>
      <c r="P10" s="146">
        <f t="shared" ref="P10:P16" si="6">(T10/R10)</f>
        <v>1.6657458563535912</v>
      </c>
      <c r="Q10" s="147">
        <f t="shared" ref="Q10:Q16" si="7">P10/O10</f>
        <v>2.5276871871829911</v>
      </c>
      <c r="R10" s="97">
        <f t="shared" ref="R10:R16" si="8">I10</f>
        <v>362</v>
      </c>
      <c r="S10" s="98">
        <f t="shared" ref="S10:S16" si="9">R10*O10</f>
        <v>238.55800000000002</v>
      </c>
      <c r="T10" s="97">
        <f t="shared" ref="T10:T16" si="10">H10</f>
        <v>603</v>
      </c>
      <c r="U10" s="98">
        <f t="shared" ref="U10:U15" si="11">S10/$V$3</f>
        <v>19.879833333333334</v>
      </c>
      <c r="V10" s="98">
        <f t="shared" ref="V10:V16" si="12">U10*$V$4</f>
        <v>99.399166666666673</v>
      </c>
      <c r="W10" s="98">
        <f t="shared" ref="W10:W16" si="13">H10</f>
        <v>603</v>
      </c>
      <c r="X10" s="99">
        <f t="shared" ref="X10:X16" si="14">W10/V10</f>
        <v>6.0664492492391782</v>
      </c>
      <c r="Y10" s="431">
        <f t="shared" ref="Y10:Y16" si="15">(V10-W10)*-1</f>
        <v>503.6008333333333</v>
      </c>
    </row>
    <row r="11" spans="1:25" ht="15" customHeight="1" thickBot="1" x14ac:dyDescent="0.35">
      <c r="A11" s="214"/>
      <c r="B11" s="214"/>
      <c r="C11" s="64"/>
      <c r="D11" s="65"/>
      <c r="E11" s="66"/>
      <c r="F11" s="106"/>
      <c r="G11" s="19" t="s">
        <v>441</v>
      </c>
      <c r="H11" s="39">
        <f>REMP!N8</f>
        <v>362</v>
      </c>
      <c r="I11" s="39">
        <f>Poblacion2024!AR8</f>
        <v>938</v>
      </c>
      <c r="J11" s="222">
        <f t="shared" si="0"/>
        <v>0.38592750533049042</v>
      </c>
      <c r="K11" s="42">
        <f t="shared" si="2"/>
        <v>0.65900000000000003</v>
      </c>
      <c r="L11" s="42">
        <f t="shared" si="3"/>
        <v>0.15816</v>
      </c>
      <c r="M11" s="113">
        <f t="shared" si="1"/>
        <v>1</v>
      </c>
      <c r="N11" s="17">
        <f t="shared" si="4"/>
        <v>4.4000000000000004E-2</v>
      </c>
      <c r="O11" s="146">
        <f t="shared" si="5"/>
        <v>0.65900000000000003</v>
      </c>
      <c r="P11" s="146">
        <f t="shared" si="6"/>
        <v>0.38592750533049042</v>
      </c>
      <c r="Q11" s="147">
        <f t="shared" si="7"/>
        <v>0.58562595649543303</v>
      </c>
      <c r="R11" s="97">
        <f t="shared" si="8"/>
        <v>938</v>
      </c>
      <c r="S11" s="98">
        <f t="shared" si="9"/>
        <v>618.14200000000005</v>
      </c>
      <c r="T11" s="97">
        <f t="shared" si="10"/>
        <v>362</v>
      </c>
      <c r="U11" s="98">
        <f t="shared" si="11"/>
        <v>51.511833333333335</v>
      </c>
      <c r="V11" s="98">
        <f t="shared" si="12"/>
        <v>257.55916666666667</v>
      </c>
      <c r="W11" s="98">
        <f t="shared" si="13"/>
        <v>362</v>
      </c>
      <c r="X11" s="99">
        <f t="shared" si="14"/>
        <v>1.4055022955890395</v>
      </c>
      <c r="Y11" s="431">
        <f t="shared" si="15"/>
        <v>104.44083333333333</v>
      </c>
    </row>
    <row r="12" spans="1:25" ht="15" customHeight="1" thickBot="1" x14ac:dyDescent="0.35">
      <c r="A12" s="214"/>
      <c r="B12" s="214"/>
      <c r="C12" s="64"/>
      <c r="D12" s="65"/>
      <c r="E12" s="66"/>
      <c r="F12" s="106"/>
      <c r="G12" s="19" t="s">
        <v>442</v>
      </c>
      <c r="H12" s="39">
        <f>REMP!N9</f>
        <v>498</v>
      </c>
      <c r="I12" s="39">
        <f>Poblacion2024!AR9</f>
        <v>669.35519999999997</v>
      </c>
      <c r="J12" s="222">
        <f t="shared" si="0"/>
        <v>0.74399959841949392</v>
      </c>
      <c r="K12" s="42">
        <f t="shared" si="2"/>
        <v>0.65900000000000003</v>
      </c>
      <c r="L12" s="42">
        <f t="shared" si="3"/>
        <v>0.15816</v>
      </c>
      <c r="M12" s="113">
        <f t="shared" si="1"/>
        <v>1</v>
      </c>
      <c r="N12" s="17">
        <f t="shared" si="4"/>
        <v>4.4000000000000004E-2</v>
      </c>
      <c r="O12" s="146">
        <f t="shared" si="5"/>
        <v>0.65900000000000003</v>
      </c>
      <c r="P12" s="146">
        <f t="shared" si="6"/>
        <v>0.74399959841949392</v>
      </c>
      <c r="Q12" s="147">
        <f t="shared" si="7"/>
        <v>1.1289826986638754</v>
      </c>
      <c r="R12" s="97">
        <f t="shared" si="8"/>
        <v>669.35519999999997</v>
      </c>
      <c r="S12" s="98">
        <f t="shared" si="9"/>
        <v>441.10507680000001</v>
      </c>
      <c r="T12" s="97">
        <f t="shared" si="10"/>
        <v>498</v>
      </c>
      <c r="U12" s="98">
        <f t="shared" si="11"/>
        <v>36.758756400000003</v>
      </c>
      <c r="V12" s="98">
        <f t="shared" si="12"/>
        <v>183.79378200000002</v>
      </c>
      <c r="W12" s="98">
        <f t="shared" si="13"/>
        <v>498</v>
      </c>
      <c r="X12" s="99">
        <f t="shared" si="14"/>
        <v>2.7095584767933008</v>
      </c>
      <c r="Y12" s="431">
        <f t="shared" si="15"/>
        <v>314.20621799999998</v>
      </c>
    </row>
    <row r="13" spans="1:25" ht="15" customHeight="1" thickBot="1" x14ac:dyDescent="0.35">
      <c r="A13" s="214"/>
      <c r="B13" s="214"/>
      <c r="C13" s="64"/>
      <c r="D13" s="65"/>
      <c r="E13" s="66"/>
      <c r="F13" s="106"/>
      <c r="G13" s="19" t="s">
        <v>443</v>
      </c>
      <c r="H13" s="39">
        <f>REMP!N10</f>
        <v>508</v>
      </c>
      <c r="I13" s="39">
        <f>Poblacion2024!AR10</f>
        <v>917</v>
      </c>
      <c r="J13" s="222">
        <f t="shared" si="0"/>
        <v>0.55398037077426387</v>
      </c>
      <c r="K13" s="42">
        <f t="shared" si="2"/>
        <v>0.65900000000000003</v>
      </c>
      <c r="L13" s="42">
        <f t="shared" si="3"/>
        <v>0.15816</v>
      </c>
      <c r="M13" s="113">
        <f t="shared" si="1"/>
        <v>1</v>
      </c>
      <c r="N13" s="17">
        <f t="shared" si="4"/>
        <v>4.4000000000000004E-2</v>
      </c>
      <c r="O13" s="146">
        <f t="shared" si="5"/>
        <v>0.65900000000000003</v>
      </c>
      <c r="P13" s="146">
        <f t="shared" si="6"/>
        <v>0.55398037077426387</v>
      </c>
      <c r="Q13" s="147">
        <f t="shared" si="7"/>
        <v>0.84063789191845806</v>
      </c>
      <c r="R13" s="97">
        <f t="shared" si="8"/>
        <v>917</v>
      </c>
      <c r="S13" s="98">
        <f t="shared" si="9"/>
        <v>604.303</v>
      </c>
      <c r="T13" s="97">
        <f t="shared" si="10"/>
        <v>508</v>
      </c>
      <c r="U13" s="98">
        <f t="shared" si="11"/>
        <v>50.358583333333335</v>
      </c>
      <c r="V13" s="98">
        <f t="shared" si="12"/>
        <v>251.79291666666668</v>
      </c>
      <c r="W13" s="98">
        <f t="shared" si="13"/>
        <v>508</v>
      </c>
      <c r="X13" s="99">
        <f t="shared" si="14"/>
        <v>2.0175309406042992</v>
      </c>
      <c r="Y13" s="431">
        <f t="shared" si="15"/>
        <v>256.20708333333334</v>
      </c>
    </row>
    <row r="14" spans="1:25" ht="15" customHeight="1" thickBot="1" x14ac:dyDescent="0.35">
      <c r="A14" s="214"/>
      <c r="B14" s="214"/>
      <c r="C14" s="64"/>
      <c r="D14" s="65"/>
      <c r="E14" s="66"/>
      <c r="F14" s="106"/>
      <c r="G14" s="19" t="s">
        <v>444</v>
      </c>
      <c r="H14" s="39">
        <f>REMP!N11</f>
        <v>9</v>
      </c>
      <c r="I14" s="39">
        <f>Poblacion2024!AR11</f>
        <v>8.8919999999999995</v>
      </c>
      <c r="J14" s="222">
        <f t="shared" si="0"/>
        <v>1.0121457489878543</v>
      </c>
      <c r="K14" s="42">
        <f t="shared" si="2"/>
        <v>0.65900000000000003</v>
      </c>
      <c r="L14" s="42">
        <f t="shared" si="3"/>
        <v>0.15816</v>
      </c>
      <c r="M14" s="113">
        <f t="shared" si="1"/>
        <v>1</v>
      </c>
      <c r="N14" s="17">
        <f t="shared" si="4"/>
        <v>4.4000000000000004E-2</v>
      </c>
      <c r="O14" s="146">
        <f t="shared" si="5"/>
        <v>0.65900000000000003</v>
      </c>
      <c r="P14" s="146">
        <f t="shared" si="6"/>
        <v>1.0121457489878543</v>
      </c>
      <c r="Q14" s="147">
        <f t="shared" si="7"/>
        <v>1.5358812579481855</v>
      </c>
      <c r="R14" s="97">
        <f t="shared" si="8"/>
        <v>8.8919999999999995</v>
      </c>
      <c r="S14" s="98">
        <f t="shared" si="9"/>
        <v>5.8598280000000003</v>
      </c>
      <c r="T14" s="97">
        <f t="shared" si="10"/>
        <v>9</v>
      </c>
      <c r="U14" s="98">
        <f t="shared" si="11"/>
        <v>0.488319</v>
      </c>
      <c r="V14" s="98">
        <f t="shared" si="12"/>
        <v>2.441595</v>
      </c>
      <c r="W14" s="98">
        <f t="shared" si="13"/>
        <v>9</v>
      </c>
      <c r="X14" s="99">
        <f t="shared" si="14"/>
        <v>3.6861150190756451</v>
      </c>
      <c r="Y14" s="431">
        <f t="shared" si="15"/>
        <v>6.5584050000000005</v>
      </c>
    </row>
    <row r="15" spans="1:25" ht="15" customHeight="1" thickBot="1" x14ac:dyDescent="0.35">
      <c r="A15" s="214"/>
      <c r="B15" s="214"/>
      <c r="C15" s="64"/>
      <c r="D15" s="65"/>
      <c r="E15" s="66"/>
      <c r="F15" s="106"/>
      <c r="G15" s="28" t="s">
        <v>445</v>
      </c>
      <c r="H15" s="39">
        <f>REMP!N12</f>
        <v>131</v>
      </c>
      <c r="I15" s="53">
        <f>Poblacion2024!AR12</f>
        <v>176.6448</v>
      </c>
      <c r="J15" s="223">
        <f t="shared" si="0"/>
        <v>0.74160122460440381</v>
      </c>
      <c r="K15" s="55">
        <f t="shared" si="2"/>
        <v>0.65900000000000003</v>
      </c>
      <c r="L15" s="55">
        <f t="shared" si="3"/>
        <v>0.15816</v>
      </c>
      <c r="M15" s="116">
        <f t="shared" si="1"/>
        <v>1</v>
      </c>
      <c r="N15" s="17">
        <f t="shared" si="4"/>
        <v>4.4000000000000004E-2</v>
      </c>
      <c r="O15" s="545">
        <f t="shared" si="5"/>
        <v>0.65900000000000003</v>
      </c>
      <c r="P15" s="545">
        <f t="shared" si="6"/>
        <v>0.74160122460440381</v>
      </c>
      <c r="Q15" s="546">
        <f t="shared" si="7"/>
        <v>1.1253432846804305</v>
      </c>
      <c r="R15" s="97">
        <f t="shared" si="8"/>
        <v>176.6448</v>
      </c>
      <c r="S15" s="98">
        <f t="shared" si="9"/>
        <v>116.4089232</v>
      </c>
      <c r="T15" s="97">
        <f t="shared" si="10"/>
        <v>131</v>
      </c>
      <c r="U15" s="98">
        <f t="shared" si="11"/>
        <v>9.7007436000000009</v>
      </c>
      <c r="V15" s="98">
        <f t="shared" si="12"/>
        <v>48.503718000000006</v>
      </c>
      <c r="W15" s="98">
        <f t="shared" si="13"/>
        <v>131</v>
      </c>
      <c r="X15" s="547">
        <f t="shared" si="14"/>
        <v>2.7008238832330336</v>
      </c>
      <c r="Y15" s="431">
        <f t="shared" si="15"/>
        <v>82.496281999999994</v>
      </c>
    </row>
    <row r="16" spans="1:25" ht="15" customHeight="1" thickBot="1" x14ac:dyDescent="0.35">
      <c r="A16" s="214"/>
      <c r="B16" s="214"/>
      <c r="C16" s="64"/>
      <c r="D16" s="65"/>
      <c r="E16" s="66"/>
      <c r="F16" s="106"/>
      <c r="G16" s="544" t="s">
        <v>15</v>
      </c>
      <c r="H16" s="30">
        <f>SUM(H9:H15)</f>
        <v>2766</v>
      </c>
      <c r="I16" s="30">
        <f>SUM(I9:I15)</f>
        <v>3747</v>
      </c>
      <c r="J16" s="579">
        <f t="shared" si="0"/>
        <v>0.73819055244195353</v>
      </c>
      <c r="K16" s="512">
        <f t="shared" si="2"/>
        <v>0.65900000000000003</v>
      </c>
      <c r="L16" s="512">
        <f t="shared" si="3"/>
        <v>0.15816</v>
      </c>
      <c r="M16" s="513">
        <f t="shared" si="1"/>
        <v>1</v>
      </c>
      <c r="N16" s="514">
        <f t="shared" si="4"/>
        <v>4.4000000000000004E-2</v>
      </c>
      <c r="O16" s="548">
        <f t="shared" si="5"/>
        <v>0.65900000000000003</v>
      </c>
      <c r="P16" s="548">
        <f t="shared" si="6"/>
        <v>0.73819055244195353</v>
      </c>
      <c r="Q16" s="549">
        <f t="shared" si="7"/>
        <v>1.1201677578785334</v>
      </c>
      <c r="R16" s="550">
        <f t="shared" si="8"/>
        <v>3747</v>
      </c>
      <c r="S16" s="551">
        <f t="shared" si="9"/>
        <v>2469.2730000000001</v>
      </c>
      <c r="T16" s="550">
        <f t="shared" si="10"/>
        <v>2766</v>
      </c>
      <c r="U16" s="775">
        <f>S16/$V$3</f>
        <v>205.77275</v>
      </c>
      <c r="V16" s="551">
        <f t="shared" si="12"/>
        <v>1028.86375</v>
      </c>
      <c r="W16" s="551">
        <f t="shared" si="13"/>
        <v>2766</v>
      </c>
      <c r="X16" s="552">
        <f t="shared" si="14"/>
        <v>2.6884026189084804</v>
      </c>
      <c r="Y16" s="431">
        <f t="shared" si="15"/>
        <v>1737.13625</v>
      </c>
    </row>
    <row r="19" spans="7:7" ht="23.25" x14ac:dyDescent="0.35">
      <c r="G19" s="622"/>
    </row>
  </sheetData>
  <autoFilter ref="G4:N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conditionalFormatting sqref="Y9:Y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T22" sqref="T22"/>
    </sheetView>
  </sheetViews>
  <sheetFormatPr baseColWidth="10" defaultRowHeight="15" x14ac:dyDescent="0.25"/>
  <cols>
    <col min="1" max="1" width="1.7109375" style="241" customWidth="1"/>
    <col min="2" max="2" width="2" style="241" customWidth="1"/>
    <col min="3" max="3" width="52.28515625" style="241" bestFit="1" customWidth="1"/>
    <col min="4" max="4" width="9.7109375" style="241" hidden="1" customWidth="1"/>
    <col min="5" max="5" width="11.42578125" style="241" customWidth="1"/>
    <col min="6" max="6" width="11" style="241" customWidth="1"/>
    <col min="7" max="7" width="13.42578125" style="241" customWidth="1"/>
    <col min="8" max="8" width="11" style="241" customWidth="1"/>
    <col min="9" max="9" width="10.140625" style="241" customWidth="1"/>
    <col min="10" max="13" width="11" style="241" customWidth="1"/>
    <col min="14" max="14" width="12.28515625" style="241" customWidth="1"/>
    <col min="15" max="15" width="12.140625" style="241" customWidth="1"/>
    <col min="16" max="23" width="12.42578125" style="241" customWidth="1"/>
    <col min="24" max="24" width="12.42578125" style="242" customWidth="1"/>
    <col min="25" max="25" width="15.5703125" style="241" customWidth="1"/>
    <col min="26" max="16384" width="11.42578125" style="241"/>
  </cols>
  <sheetData>
    <row r="1" spans="3:26" s="225" customFormat="1" ht="28.5" customHeight="1" thickBot="1" x14ac:dyDescent="0.5">
      <c r="C1" s="947" t="s">
        <v>0</v>
      </c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224"/>
      <c r="Q1" s="224" t="str">
        <f>+NOMBRE!B7</f>
        <v>ENERO - MAYO 2024</v>
      </c>
      <c r="R1" s="224"/>
      <c r="S1" s="224"/>
      <c r="T1" s="224"/>
      <c r="U1" s="224"/>
      <c r="V1" s="224"/>
      <c r="W1" s="224"/>
      <c r="X1" s="224"/>
    </row>
    <row r="2" spans="3:26" s="227" customFormat="1" ht="22.5" customHeight="1" thickBot="1" x14ac:dyDescent="0.35">
      <c r="C2" s="948" t="s">
        <v>438</v>
      </c>
      <c r="D2" s="226"/>
      <c r="E2" s="951" t="s">
        <v>137</v>
      </c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2" t="s">
        <v>138</v>
      </c>
    </row>
    <row r="3" spans="3:26" s="234" customFormat="1" ht="16.5" customHeight="1" thickBot="1" x14ac:dyDescent="0.35">
      <c r="C3" s="949"/>
      <c r="D3" s="228" t="s">
        <v>139</v>
      </c>
      <c r="E3" s="228" t="s">
        <v>140</v>
      </c>
      <c r="F3" s="228" t="s">
        <v>141</v>
      </c>
      <c r="G3" s="228" t="s">
        <v>142</v>
      </c>
      <c r="H3" s="229" t="s">
        <v>143</v>
      </c>
      <c r="I3" s="230" t="s">
        <v>144</v>
      </c>
      <c r="J3" s="231" t="s">
        <v>145</v>
      </c>
      <c r="K3" s="229" t="s">
        <v>146</v>
      </c>
      <c r="L3" s="229" t="s">
        <v>147</v>
      </c>
      <c r="M3" s="232" t="s">
        <v>148</v>
      </c>
      <c r="N3" s="229" t="s">
        <v>149</v>
      </c>
      <c r="O3" s="229" t="s">
        <v>150</v>
      </c>
      <c r="P3" s="229" t="s">
        <v>151</v>
      </c>
      <c r="Q3" s="229" t="s">
        <v>152</v>
      </c>
      <c r="R3" s="229" t="s">
        <v>153</v>
      </c>
      <c r="S3" s="229" t="s">
        <v>154</v>
      </c>
      <c r="T3" s="229" t="s">
        <v>155</v>
      </c>
      <c r="U3" s="229" t="s">
        <v>156</v>
      </c>
      <c r="V3" s="229" t="s">
        <v>157</v>
      </c>
      <c r="W3" s="233" t="s">
        <v>158</v>
      </c>
      <c r="X3" s="953"/>
    </row>
    <row r="4" spans="3:26" s="234" customFormat="1" ht="15" customHeight="1" x14ac:dyDescent="0.3">
      <c r="C4" s="949"/>
      <c r="D4" s="955"/>
      <c r="E4" s="957" t="s">
        <v>159</v>
      </c>
      <c r="F4" s="942" t="s">
        <v>160</v>
      </c>
      <c r="G4" s="942" t="s">
        <v>161</v>
      </c>
      <c r="H4" s="942" t="s">
        <v>162</v>
      </c>
      <c r="I4" s="960" t="s">
        <v>163</v>
      </c>
      <c r="J4" s="942" t="s">
        <v>164</v>
      </c>
      <c r="K4" s="942" t="s">
        <v>165</v>
      </c>
      <c r="L4" s="942" t="s">
        <v>166</v>
      </c>
      <c r="M4" s="961" t="s">
        <v>167</v>
      </c>
      <c r="N4" s="942" t="s">
        <v>168</v>
      </c>
      <c r="O4" s="942" t="s">
        <v>169</v>
      </c>
      <c r="P4" s="942" t="s">
        <v>169</v>
      </c>
      <c r="Q4" s="946" t="s">
        <v>170</v>
      </c>
      <c r="R4" s="942" t="s">
        <v>171</v>
      </c>
      <c r="S4" s="946" t="s">
        <v>172</v>
      </c>
      <c r="T4" s="942" t="s">
        <v>173</v>
      </c>
      <c r="U4" s="942" t="s">
        <v>174</v>
      </c>
      <c r="V4" s="942" t="s">
        <v>175</v>
      </c>
      <c r="W4" s="944" t="s">
        <v>176</v>
      </c>
      <c r="X4" s="953"/>
    </row>
    <row r="5" spans="3:26" s="234" customFormat="1" ht="87.75" customHeight="1" thickBot="1" x14ac:dyDescent="0.35">
      <c r="C5" s="950"/>
      <c r="D5" s="956"/>
      <c r="E5" s="958"/>
      <c r="F5" s="959"/>
      <c r="G5" s="959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5"/>
      <c r="X5" s="954"/>
    </row>
    <row r="6" spans="3:26" s="238" customFormat="1" ht="15" customHeight="1" x14ac:dyDescent="0.3">
      <c r="C6" s="19" t="s">
        <v>439</v>
      </c>
      <c r="D6" s="235"/>
      <c r="E6" s="612"/>
      <c r="F6" s="235"/>
      <c r="G6" s="235">
        <f>+meta3!$Y9</f>
        <v>1</v>
      </c>
      <c r="H6" s="235">
        <f>+meta4!$AK9</f>
        <v>1</v>
      </c>
      <c r="I6" s="235">
        <f>+meta5!$Z9</f>
        <v>1</v>
      </c>
      <c r="J6" s="235">
        <f>+meta6.1a!$Z9</f>
        <v>0.84120936237833954</v>
      </c>
      <c r="K6" s="235">
        <f>+meta6.2!$Z9</f>
        <v>1</v>
      </c>
      <c r="L6" s="235">
        <f>+meta7!$Y9</f>
        <v>1</v>
      </c>
      <c r="M6" s="235">
        <f>+meta8!$Y9</f>
        <v>1</v>
      </c>
      <c r="N6" s="235">
        <f>+meta9!$Z9</f>
        <v>1</v>
      </c>
      <c r="O6" s="235">
        <f>+meta10a!$Z9</f>
        <v>1</v>
      </c>
      <c r="P6" s="235">
        <f>+meta10b!Y9</f>
        <v>1</v>
      </c>
      <c r="Q6" s="235"/>
      <c r="R6" s="235">
        <f>+meta13!$AK9</f>
        <v>1</v>
      </c>
      <c r="S6" s="235">
        <f>+meta14!M9</f>
        <v>1</v>
      </c>
      <c r="T6" s="235">
        <f>+meta15!M9</f>
        <v>0.89052829044880388</v>
      </c>
      <c r="U6" s="235">
        <f>+meta16!M9</f>
        <v>0.841148765208798</v>
      </c>
      <c r="V6" s="235">
        <f>+meta17!$Z9</f>
        <v>1</v>
      </c>
      <c r="W6" s="235">
        <f>+meta18!M9</f>
        <v>1</v>
      </c>
      <c r="X6" s="236">
        <f>+CumplimientoPonderado!X6</f>
        <v>0.79447742692632106</v>
      </c>
      <c r="Y6" s="237"/>
      <c r="Z6" s="237"/>
    </row>
    <row r="7" spans="3:26" s="238" customFormat="1" ht="15" customHeight="1" x14ac:dyDescent="0.3">
      <c r="C7" s="19" t="s">
        <v>440</v>
      </c>
      <c r="D7" s="239"/>
      <c r="E7" s="613"/>
      <c r="F7" s="239"/>
      <c r="G7" s="239">
        <f>+meta3!$Y10</f>
        <v>1</v>
      </c>
      <c r="H7" s="239">
        <f>+meta4!$AK10</f>
        <v>1</v>
      </c>
      <c r="I7" s="239">
        <f>+meta5!$Z10</f>
        <v>0.69010135863704969</v>
      </c>
      <c r="J7" s="239">
        <f>+meta6.1a!$Z10</f>
        <v>1</v>
      </c>
      <c r="K7" s="239">
        <f>+meta6.2!$Z10</f>
        <v>1</v>
      </c>
      <c r="L7" s="239">
        <f>+meta7!$Y10</f>
        <v>1</v>
      </c>
      <c r="M7" s="239">
        <f>+meta8!$Y10</f>
        <v>1</v>
      </c>
      <c r="N7" s="239">
        <f>+meta9!$Z10</f>
        <v>1</v>
      </c>
      <c r="O7" s="239">
        <f>+meta10a!$Z10</f>
        <v>1</v>
      </c>
      <c r="P7" s="239">
        <f>+meta10b!Y10</f>
        <v>1</v>
      </c>
      <c r="Q7" s="239"/>
      <c r="R7" s="239">
        <f>+meta13!$AK10</f>
        <v>0.99077739743709614</v>
      </c>
      <c r="S7" s="239">
        <f>+meta14!M10</f>
        <v>1</v>
      </c>
      <c r="T7" s="239">
        <f>+meta15!M10</f>
        <v>1</v>
      </c>
      <c r="U7" s="239">
        <f>+meta16!M10</f>
        <v>0.97019274764190289</v>
      </c>
      <c r="V7" s="239">
        <f>+meta17!$Z10</f>
        <v>1</v>
      </c>
      <c r="W7" s="239">
        <f>+meta18!M10</f>
        <v>1</v>
      </c>
      <c r="X7" s="240">
        <f>+CumplimientoPonderado!X7</f>
        <v>0.8489144971498801</v>
      </c>
      <c r="Y7" s="237"/>
      <c r="Z7" s="237"/>
    </row>
    <row r="8" spans="3:26" s="238" customFormat="1" ht="15" customHeight="1" x14ac:dyDescent="0.3">
      <c r="C8" s="19" t="s">
        <v>441</v>
      </c>
      <c r="D8" s="239"/>
      <c r="E8" s="613"/>
      <c r="F8" s="239"/>
      <c r="G8" s="239">
        <f>+meta3!$Y11</f>
        <v>1</v>
      </c>
      <c r="H8" s="239">
        <f>+meta4!$AK11</f>
        <v>0.96145554771190189</v>
      </c>
      <c r="I8" s="239">
        <f>+meta5!$Z11</f>
        <v>0.8384368620589091</v>
      </c>
      <c r="J8" s="239">
        <f>+meta6.1a!$Z11</f>
        <v>1</v>
      </c>
      <c r="K8" s="239">
        <f>+meta6.2!$Z11</f>
        <v>1</v>
      </c>
      <c r="L8" s="239">
        <f>+meta7!$Y11</f>
        <v>1</v>
      </c>
      <c r="M8" s="239">
        <f>+meta8!$Y11</f>
        <v>0.85066692286752821</v>
      </c>
      <c r="N8" s="239">
        <f>+meta9!$Z11</f>
        <v>1</v>
      </c>
      <c r="O8" s="239">
        <f>+meta10a!$Z11</f>
        <v>1</v>
      </c>
      <c r="P8" s="239">
        <f>+meta10b!Y11</f>
        <v>1</v>
      </c>
      <c r="Q8" s="239"/>
      <c r="R8" s="239">
        <f>+meta13!$AK11</f>
        <v>0.93281208924467662</v>
      </c>
      <c r="S8" s="239">
        <f>+meta14!M11</f>
        <v>1</v>
      </c>
      <c r="T8" s="239">
        <f>+meta15!M11</f>
        <v>0.69399153687011494</v>
      </c>
      <c r="U8" s="239">
        <f>+meta16!M11</f>
        <v>0.76813370937454062</v>
      </c>
      <c r="V8" s="239">
        <f>+meta17!$Z11</f>
        <v>1</v>
      </c>
      <c r="W8" s="239">
        <f>+meta18!M11</f>
        <v>1</v>
      </c>
      <c r="X8" s="240">
        <f>+CumplimientoPonderado!X8</f>
        <v>0.80830714638438517</v>
      </c>
      <c r="Y8" s="237"/>
      <c r="Z8" s="237"/>
    </row>
    <row r="9" spans="3:26" s="238" customFormat="1" ht="15" customHeight="1" x14ac:dyDescent="0.3">
      <c r="C9" s="19" t="s">
        <v>442</v>
      </c>
      <c r="D9" s="239"/>
      <c r="E9" s="613"/>
      <c r="F9" s="239"/>
      <c r="G9" s="239">
        <f>+meta3!$Y12</f>
        <v>1</v>
      </c>
      <c r="H9" s="239">
        <f>+meta4!$AK12</f>
        <v>0.92743650994965565</v>
      </c>
      <c r="I9" s="239">
        <f>+meta5!$Z12</f>
        <v>1</v>
      </c>
      <c r="J9" s="239">
        <f>+meta6.1a!$Z12</f>
        <v>1</v>
      </c>
      <c r="K9" s="239">
        <f>+meta6.2!$Z12</f>
        <v>1</v>
      </c>
      <c r="L9" s="239">
        <f>+meta7!$Y12</f>
        <v>1</v>
      </c>
      <c r="M9" s="239">
        <f>+meta8!$Y12</f>
        <v>1</v>
      </c>
      <c r="N9" s="239">
        <f>+meta9!$Z12</f>
        <v>1</v>
      </c>
      <c r="O9" s="239">
        <f>+meta10a!$Z12</f>
        <v>1</v>
      </c>
      <c r="P9" s="239">
        <f>+meta10b!Y12</f>
        <v>1</v>
      </c>
      <c r="Q9" s="239"/>
      <c r="R9" s="239">
        <f>+meta13!$AK12</f>
        <v>0.98323436433898348</v>
      </c>
      <c r="S9" s="239">
        <f>+meta14!M12</f>
        <v>1</v>
      </c>
      <c r="T9" s="239">
        <f>+meta15!M12</f>
        <v>1</v>
      </c>
      <c r="U9" s="239">
        <f>+meta16!M12</f>
        <v>1</v>
      </c>
      <c r="V9" s="239">
        <f>+meta17!$Z12</f>
        <v>1</v>
      </c>
      <c r="W9" s="239">
        <f>+meta18!M12</f>
        <v>1</v>
      </c>
      <c r="X9" s="240">
        <f>+CumplimientoPonderado!X9</f>
        <v>0.86341140900617508</v>
      </c>
      <c r="Y9" s="237"/>
      <c r="Z9" s="237"/>
    </row>
    <row r="10" spans="3:26" s="238" customFormat="1" ht="15" customHeight="1" x14ac:dyDescent="0.3">
      <c r="C10" s="19" t="s">
        <v>443</v>
      </c>
      <c r="D10" s="239"/>
      <c r="E10" s="613"/>
      <c r="F10" s="239"/>
      <c r="G10" s="239">
        <f>+meta3!$Y13</f>
        <v>1</v>
      </c>
      <c r="H10" s="239">
        <f>+meta4!$AK13</f>
        <v>0.76410702805316189</v>
      </c>
      <c r="I10" s="239">
        <f>+meta5!$Z13</f>
        <v>1</v>
      </c>
      <c r="J10" s="239">
        <f>+meta6.1a!$Z13</f>
        <v>1</v>
      </c>
      <c r="K10" s="239">
        <f>+meta6.2!$Z13</f>
        <v>1</v>
      </c>
      <c r="L10" s="239">
        <f>+meta7!$Y13</f>
        <v>1</v>
      </c>
      <c r="M10" s="239">
        <f>+meta8!$Y13</f>
        <v>1</v>
      </c>
      <c r="N10" s="239">
        <f>+meta9!$Z13</f>
        <v>0.99523240585060413</v>
      </c>
      <c r="O10" s="239">
        <f>+meta10a!$Z13</f>
        <v>1</v>
      </c>
      <c r="P10" s="239">
        <f>+meta10b!Y13</f>
        <v>0.86921952896682142</v>
      </c>
      <c r="Q10" s="239"/>
      <c r="R10" s="239">
        <f>+meta13!$AK13</f>
        <v>0.93281208924467662</v>
      </c>
      <c r="S10" s="239">
        <f>+meta14!M13</f>
        <v>1</v>
      </c>
      <c r="T10" s="239">
        <f>+meta15!M13</f>
        <v>1</v>
      </c>
      <c r="U10" s="239">
        <f>+meta16!M13</f>
        <v>1</v>
      </c>
      <c r="V10" s="239">
        <f>+meta17!$Z13</f>
        <v>0.82939721097615837</v>
      </c>
      <c r="W10" s="239">
        <f>+meta18!M13</f>
        <v>1</v>
      </c>
      <c r="X10" s="240">
        <f>+CumplimientoPonderado!X10</f>
        <v>0.83976765626749406</v>
      </c>
      <c r="Y10" s="237"/>
      <c r="Z10" s="237"/>
    </row>
    <row r="11" spans="3:26" s="238" customFormat="1" ht="15" customHeight="1" x14ac:dyDescent="0.3">
      <c r="C11" s="19" t="s">
        <v>444</v>
      </c>
      <c r="D11" s="239"/>
      <c r="E11" s="613"/>
      <c r="F11" s="239"/>
      <c r="G11" s="239">
        <f>+meta3!$Y14</f>
        <v>1</v>
      </c>
      <c r="H11" s="239">
        <f>+meta4!$AK14</f>
        <v>0.91244344751549245</v>
      </c>
      <c r="I11" s="239">
        <f>+meta5!$Z14</f>
        <v>1</v>
      </c>
      <c r="J11" s="239">
        <f>+meta6.1a!$Z14</f>
        <v>1</v>
      </c>
      <c r="K11" s="239">
        <f>+meta6.2!$Z14</f>
        <v>1</v>
      </c>
      <c r="L11" s="239">
        <f>+meta7!$Y14</f>
        <v>1</v>
      </c>
      <c r="M11" s="239">
        <f>+meta8!$Y14</f>
        <v>1</v>
      </c>
      <c r="N11" s="239">
        <f>+meta9!$Z14</f>
        <v>1</v>
      </c>
      <c r="O11" s="239">
        <f>+meta10a!$Z14</f>
        <v>1</v>
      </c>
      <c r="P11" s="239">
        <f>+meta10b!Y14</f>
        <v>1</v>
      </c>
      <c r="Q11" s="239"/>
      <c r="R11" s="239">
        <f>+meta13!$AK14</f>
        <v>1</v>
      </c>
      <c r="S11" s="239">
        <f>+meta14!M14</f>
        <v>0</v>
      </c>
      <c r="T11" s="239">
        <f>+meta15!M14</f>
        <v>1</v>
      </c>
      <c r="U11" s="239">
        <f>+meta16!M14</f>
        <v>1</v>
      </c>
      <c r="V11" s="239">
        <f>+meta17!$Z14</f>
        <v>1</v>
      </c>
      <c r="W11" s="239">
        <f>+meta18!M14</f>
        <v>1</v>
      </c>
      <c r="X11" s="240">
        <f>+CumplimientoPonderado!X11</f>
        <v>0.79779314526860046</v>
      </c>
      <c r="Y11" s="237"/>
      <c r="Z11" s="237"/>
    </row>
    <row r="12" spans="3:26" s="238" customFormat="1" ht="15" customHeight="1" thickBot="1" x14ac:dyDescent="0.35">
      <c r="C12" s="28" t="s">
        <v>445</v>
      </c>
      <c r="D12" s="776"/>
      <c r="E12" s="777"/>
      <c r="F12" s="776"/>
      <c r="G12" s="776">
        <f>+meta3!$Y15</f>
        <v>1</v>
      </c>
      <c r="H12" s="776">
        <f>+meta4!$AK15</f>
        <v>0.89649898964820951</v>
      </c>
      <c r="I12" s="776">
        <f>+meta5!$Z15</f>
        <v>1</v>
      </c>
      <c r="J12" s="776">
        <f>+meta6.1a!$Z15</f>
        <v>0.36497291703111107</v>
      </c>
      <c r="K12" s="776">
        <f>+meta6.2!$Z15</f>
        <v>0</v>
      </c>
      <c r="L12" s="776">
        <f>+meta7!$Y15</f>
        <v>1</v>
      </c>
      <c r="M12" s="776">
        <f>+meta8!$Y15</f>
        <v>0.32920056240154816</v>
      </c>
      <c r="N12" s="776">
        <f>+meta9!$Z15</f>
        <v>1</v>
      </c>
      <c r="O12" s="776">
        <f>+meta10a!$Z15</f>
        <v>1</v>
      </c>
      <c r="P12" s="776">
        <f>+meta10b!Y15</f>
        <v>1</v>
      </c>
      <c r="Q12" s="776"/>
      <c r="R12" s="776">
        <f>+meta13!$AK15</f>
        <v>0.60131688397590721</v>
      </c>
      <c r="S12" s="776">
        <f>+meta14!M15</f>
        <v>1</v>
      </c>
      <c r="T12" s="776">
        <f>+meta15!M15</f>
        <v>1</v>
      </c>
      <c r="U12" s="776">
        <f>+meta16!M15</f>
        <v>1</v>
      </c>
      <c r="V12" s="776">
        <f>+meta17!$Z15</f>
        <v>1</v>
      </c>
      <c r="W12" s="776">
        <f>+meta18!M15</f>
        <v>1</v>
      </c>
      <c r="X12" s="778">
        <f>+CumplimientoPonderado!X12</f>
        <v>0.71116371859782257</v>
      </c>
      <c r="Y12" s="237"/>
      <c r="Z12" s="237"/>
    </row>
    <row r="13" spans="3:26" s="238" customFormat="1" ht="15" customHeight="1" thickBot="1" x14ac:dyDescent="0.25">
      <c r="C13" s="779" t="s">
        <v>15</v>
      </c>
      <c r="D13" s="780"/>
      <c r="E13" s="781">
        <f>+meta2.1!$M8</f>
        <v>1</v>
      </c>
      <c r="F13" s="780">
        <f>+meta2.2!$M8</f>
        <v>1</v>
      </c>
      <c r="G13" s="780">
        <f>+meta3!$Y16</f>
        <v>1</v>
      </c>
      <c r="H13" s="780">
        <f>+meta4!$AK16</f>
        <v>0.94635404476008878</v>
      </c>
      <c r="I13" s="780">
        <f>+meta5!$Z16</f>
        <v>1</v>
      </c>
      <c r="J13" s="780">
        <f>+meta6.1a!$Z16</f>
        <v>1</v>
      </c>
      <c r="K13" s="780">
        <f>+meta6.2!$Z16</f>
        <v>1</v>
      </c>
      <c r="L13" s="780">
        <f>+meta7!$Y16</f>
        <v>1</v>
      </c>
      <c r="M13" s="780">
        <f>+meta8!$Y16</f>
        <v>1</v>
      </c>
      <c r="N13" s="780">
        <f>+meta9!$Z16</f>
        <v>1</v>
      </c>
      <c r="O13" s="780">
        <f>+meta10a!$Z16</f>
        <v>0</v>
      </c>
      <c r="P13" s="780">
        <f>+meta10b!Y16</f>
        <v>1</v>
      </c>
      <c r="Q13" s="780">
        <f>+meta12!M8</f>
        <v>1</v>
      </c>
      <c r="R13" s="780">
        <f>+meta13!$AK16</f>
        <v>0.97582125908370909</v>
      </c>
      <c r="S13" s="780">
        <f>+meta14!M16</f>
        <v>1</v>
      </c>
      <c r="T13" s="780">
        <f>+meta15!M16</f>
        <v>0.96930582032745027</v>
      </c>
      <c r="U13" s="780">
        <f>+meta16!M16</f>
        <v>0.9492922862911557</v>
      </c>
      <c r="V13" s="780">
        <f>+meta17!$Z16</f>
        <v>1</v>
      </c>
      <c r="W13" s="780">
        <f>+meta18!M16</f>
        <v>1</v>
      </c>
      <c r="X13" s="782">
        <f>+CumplimientoPonderado!X13</f>
        <v>0.99409707325711127</v>
      </c>
      <c r="Y13" s="237"/>
      <c r="Z13" s="237"/>
    </row>
    <row r="14" spans="3:26" s="238" customFormat="1" ht="12.75" x14ac:dyDescent="0.2">
      <c r="G14" s="611"/>
      <c r="X14" s="237"/>
    </row>
    <row r="15" spans="3:26" x14ac:dyDescent="0.25">
      <c r="G15" s="239"/>
    </row>
  </sheetData>
  <mergeCells count="24"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X11" sqref="X11"/>
    </sheetView>
  </sheetViews>
  <sheetFormatPr baseColWidth="10" defaultRowHeight="15" x14ac:dyDescent="0.25"/>
  <cols>
    <col min="1" max="2" width="2" style="241" customWidth="1"/>
    <col min="3" max="3" width="45.140625" style="241" bestFit="1" customWidth="1"/>
    <col min="4" max="4" width="10.140625" style="241" hidden="1" customWidth="1"/>
    <col min="5" max="5" width="10.140625" style="241" customWidth="1"/>
    <col min="6" max="6" width="10.42578125" style="241" customWidth="1"/>
    <col min="7" max="7" width="9.140625" style="241" customWidth="1"/>
    <col min="8" max="8" width="10.42578125" style="241" customWidth="1"/>
    <col min="9" max="9" width="10" style="241" customWidth="1"/>
    <col min="10" max="10" width="11.28515625" style="241" customWidth="1"/>
    <col min="11" max="11" width="11.140625" style="241" customWidth="1"/>
    <col min="12" max="12" width="13.42578125" style="241" customWidth="1"/>
    <col min="13" max="13" width="11.5703125" style="241" customWidth="1"/>
    <col min="14" max="14" width="12.85546875" style="241" customWidth="1"/>
    <col min="15" max="15" width="12.140625" style="241" customWidth="1"/>
    <col min="16" max="21" width="12.42578125" style="241" customWidth="1"/>
    <col min="22" max="23" width="13.140625" style="241" customWidth="1"/>
    <col min="24" max="24" width="13.140625" style="242" customWidth="1"/>
    <col min="25" max="16384" width="11.42578125" style="241"/>
  </cols>
  <sheetData>
    <row r="1" spans="3:27" s="225" customFormat="1" ht="28.5" customHeight="1" thickBot="1" x14ac:dyDescent="0.5">
      <c r="C1" s="947" t="s">
        <v>0</v>
      </c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224"/>
      <c r="Q1" s="224"/>
      <c r="S1" s="224" t="str">
        <f>+NOMBRE!B7</f>
        <v>ENERO - MAYO 2024</v>
      </c>
      <c r="T1" s="224"/>
      <c r="U1" s="224"/>
      <c r="V1" s="224"/>
      <c r="W1" s="224"/>
      <c r="X1" s="224"/>
    </row>
    <row r="2" spans="3:27" s="227" customFormat="1" ht="18" customHeight="1" thickBot="1" x14ac:dyDescent="0.35">
      <c r="C2" s="948"/>
      <c r="D2" s="226"/>
      <c r="E2" s="951" t="s">
        <v>177</v>
      </c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64"/>
      <c r="X2" s="952" t="s">
        <v>138</v>
      </c>
    </row>
    <row r="3" spans="3:27" s="234" customFormat="1" ht="16.5" customHeight="1" thickBot="1" x14ac:dyDescent="0.35">
      <c r="C3" s="949"/>
      <c r="D3" s="228" t="s">
        <v>139</v>
      </c>
      <c r="E3" s="228" t="s">
        <v>140</v>
      </c>
      <c r="F3" s="228" t="s">
        <v>141</v>
      </c>
      <c r="G3" s="228" t="s">
        <v>142</v>
      </c>
      <c r="H3" s="229" t="s">
        <v>143</v>
      </c>
      <c r="I3" s="230" t="s">
        <v>144</v>
      </c>
      <c r="J3" s="231" t="s">
        <v>145</v>
      </c>
      <c r="K3" s="229" t="s">
        <v>146</v>
      </c>
      <c r="L3" s="229" t="s">
        <v>147</v>
      </c>
      <c r="M3" s="232" t="s">
        <v>148</v>
      </c>
      <c r="N3" s="229" t="s">
        <v>149</v>
      </c>
      <c r="O3" s="229" t="s">
        <v>150</v>
      </c>
      <c r="P3" s="229" t="s">
        <v>151</v>
      </c>
      <c r="Q3" s="229" t="s">
        <v>152</v>
      </c>
      <c r="R3" s="229" t="s">
        <v>153</v>
      </c>
      <c r="S3" s="229" t="s">
        <v>154</v>
      </c>
      <c r="T3" s="229" t="s">
        <v>155</v>
      </c>
      <c r="U3" s="229" t="s">
        <v>156</v>
      </c>
      <c r="V3" s="229" t="s">
        <v>157</v>
      </c>
      <c r="W3" s="243" t="s">
        <v>158</v>
      </c>
      <c r="X3" s="953"/>
    </row>
    <row r="4" spans="3:27" s="234" customFormat="1" ht="15" customHeight="1" x14ac:dyDescent="0.3">
      <c r="C4" s="949"/>
      <c r="D4" s="955"/>
      <c r="E4" s="957" t="s">
        <v>178</v>
      </c>
      <c r="F4" s="942" t="s">
        <v>160</v>
      </c>
      <c r="G4" s="942" t="s">
        <v>161</v>
      </c>
      <c r="H4" s="942" t="s">
        <v>162</v>
      </c>
      <c r="I4" s="960" t="s">
        <v>163</v>
      </c>
      <c r="J4" s="942" t="s">
        <v>179</v>
      </c>
      <c r="K4" s="942" t="s">
        <v>180</v>
      </c>
      <c r="L4" s="942" t="s">
        <v>181</v>
      </c>
      <c r="M4" s="961" t="s">
        <v>167</v>
      </c>
      <c r="N4" s="942" t="s">
        <v>182</v>
      </c>
      <c r="O4" s="942" t="s">
        <v>183</v>
      </c>
      <c r="P4" s="942" t="s">
        <v>183</v>
      </c>
      <c r="Q4" s="963" t="s">
        <v>184</v>
      </c>
      <c r="R4" s="942" t="s">
        <v>171</v>
      </c>
      <c r="S4" s="946" t="s">
        <v>172</v>
      </c>
      <c r="T4" s="942" t="s">
        <v>173</v>
      </c>
      <c r="U4" s="942" t="s">
        <v>174</v>
      </c>
      <c r="V4" s="942" t="s">
        <v>175</v>
      </c>
      <c r="W4" s="944" t="s">
        <v>176</v>
      </c>
      <c r="X4" s="953"/>
    </row>
    <row r="5" spans="3:27" s="234" customFormat="1" ht="87.75" customHeight="1" thickBot="1" x14ac:dyDescent="0.35">
      <c r="C5" s="950"/>
      <c r="D5" s="956"/>
      <c r="E5" s="965"/>
      <c r="F5" s="966"/>
      <c r="G5" s="966"/>
      <c r="H5" s="962"/>
      <c r="I5" s="962"/>
      <c r="J5" s="962"/>
      <c r="K5" s="962"/>
      <c r="L5" s="962"/>
      <c r="M5" s="962"/>
      <c r="N5" s="962"/>
      <c r="O5" s="962"/>
      <c r="P5" s="962"/>
      <c r="Q5" s="962"/>
      <c r="R5" s="962"/>
      <c r="S5" s="943"/>
      <c r="T5" s="943"/>
      <c r="U5" s="943"/>
      <c r="V5" s="943"/>
      <c r="W5" s="945"/>
      <c r="X5" s="954"/>
    </row>
    <row r="6" spans="3:27" ht="15" customHeight="1" x14ac:dyDescent="0.25">
      <c r="C6" s="610" t="s">
        <v>439</v>
      </c>
      <c r="D6" s="244"/>
      <c r="E6" s="244"/>
      <c r="F6" s="244"/>
      <c r="G6" s="244">
        <f>+meta3!$Z8</f>
        <v>0</v>
      </c>
      <c r="H6" s="244">
        <f>+meta4!$AL9</f>
        <v>5.4900000000000004E-2</v>
      </c>
      <c r="I6" s="244">
        <f>+meta5!$AA9</f>
        <v>5.4900000000000004E-2</v>
      </c>
      <c r="J6" s="244">
        <f>+meta6.1a!$AA9</f>
        <v>2.7759908958485204E-2</v>
      </c>
      <c r="K6" s="244">
        <f>+meta6.2!$AA9</f>
        <v>6.8199999999999997E-2</v>
      </c>
      <c r="L6" s="244">
        <f>+meta7!$Z9</f>
        <v>5.4900000000000004E-2</v>
      </c>
      <c r="M6" s="244">
        <f>+meta8!$Z9</f>
        <v>6.8199999999999997E-2</v>
      </c>
      <c r="N6" s="244">
        <f>+meta9!$AA9</f>
        <v>5.4900000000000004E-2</v>
      </c>
      <c r="O6" s="244">
        <f>+meta10a!AA9</f>
        <v>5.2699999999999997E-2</v>
      </c>
      <c r="P6" s="244">
        <f>+meta10b!Z9</f>
        <v>1.32E-2</v>
      </c>
      <c r="Q6" s="245"/>
      <c r="R6" s="244">
        <f>+meta13!$AL9</f>
        <v>6.59E-2</v>
      </c>
      <c r="S6" s="245">
        <f>+meta14!N9</f>
        <v>6.59E-2</v>
      </c>
      <c r="T6" s="245">
        <f>+meta15!N9</f>
        <v>5.8685814340576174E-2</v>
      </c>
      <c r="U6" s="245">
        <f>+meta16!N9</f>
        <v>5.5431703627259792E-2</v>
      </c>
      <c r="V6" s="244">
        <f>+meta17!$AA9</f>
        <v>5.4900000000000004E-2</v>
      </c>
      <c r="W6" s="246">
        <f>+meta18!N9</f>
        <v>4.4000000000000004E-2</v>
      </c>
      <c r="X6" s="247">
        <f>SUM(D6:W6)</f>
        <v>0.79447742692632106</v>
      </c>
      <c r="Z6" s="242"/>
      <c r="AA6" s="242"/>
    </row>
    <row r="7" spans="3:27" ht="15" customHeight="1" x14ac:dyDescent="0.25">
      <c r="C7" s="610" t="s">
        <v>440</v>
      </c>
      <c r="D7" s="248"/>
      <c r="E7" s="248"/>
      <c r="F7" s="248"/>
      <c r="G7" s="248">
        <f>+meta3!$Z9</f>
        <v>6.25E-2</v>
      </c>
      <c r="H7" s="248">
        <f>+meta4!$AL10</f>
        <v>5.4900000000000004E-2</v>
      </c>
      <c r="I7" s="248">
        <f>+meta5!$AA10</f>
        <v>3.7886564589174027E-2</v>
      </c>
      <c r="J7" s="248">
        <f>+meta6.1a!$AA10</f>
        <v>3.3000000000000002E-2</v>
      </c>
      <c r="K7" s="248">
        <f>+meta6.2!$AA10</f>
        <v>6.25E-2</v>
      </c>
      <c r="L7" s="248">
        <f>+meta7!$Z10</f>
        <v>5.4900000000000004E-2</v>
      </c>
      <c r="M7" s="248">
        <f>+meta8!$Z10</f>
        <v>6.25E-2</v>
      </c>
      <c r="N7" s="248">
        <f>+meta9!$AA10</f>
        <v>5.4900000000000004E-2</v>
      </c>
      <c r="O7" s="248">
        <f>+meta10a!AA10</f>
        <v>5.2699999999999997E-2</v>
      </c>
      <c r="P7" s="248">
        <f>+meta10b!Z10</f>
        <v>1.32E-2</v>
      </c>
      <c r="Q7" s="248"/>
      <c r="R7" s="248">
        <f>+meta13!$AL10</f>
        <v>6.5292230491104636E-2</v>
      </c>
      <c r="S7" s="248">
        <f>+meta14!N10</f>
        <v>6.59E-2</v>
      </c>
      <c r="T7" s="248">
        <f>+meta15!N10</f>
        <v>6.59E-2</v>
      </c>
      <c r="U7" s="248">
        <f>+meta16!N10</f>
        <v>6.3935702069601405E-2</v>
      </c>
      <c r="V7" s="248">
        <f>+meta17!$AA10</f>
        <v>5.4900000000000004E-2</v>
      </c>
      <c r="W7" s="246">
        <f>+meta18!N10</f>
        <v>4.4000000000000004E-2</v>
      </c>
      <c r="X7" s="249">
        <f t="shared" ref="X7:X13" si="0">SUM(D7:W7)</f>
        <v>0.8489144971498801</v>
      </c>
      <c r="Z7" s="242"/>
      <c r="AA7" s="242"/>
    </row>
    <row r="8" spans="3:27" ht="15" customHeight="1" x14ac:dyDescent="0.25">
      <c r="C8" s="610" t="s">
        <v>441</v>
      </c>
      <c r="D8" s="248"/>
      <c r="E8" s="248"/>
      <c r="F8" s="248"/>
      <c r="G8" s="248">
        <f>+meta3!$Z10</f>
        <v>6.25E-2</v>
      </c>
      <c r="H8" s="248">
        <f>+meta4!$AL11</f>
        <v>5.2783909569383419E-2</v>
      </c>
      <c r="I8" s="248">
        <f>+meta5!$AA11</f>
        <v>4.6030183727034109E-2</v>
      </c>
      <c r="J8" s="248">
        <f>+meta6.1a!$AA11</f>
        <v>3.3000000000000002E-2</v>
      </c>
      <c r="K8" s="248">
        <f>+meta6.2!$AA11</f>
        <v>6.25E-2</v>
      </c>
      <c r="L8" s="248">
        <f>+meta7!$Z11</f>
        <v>5.4900000000000004E-2</v>
      </c>
      <c r="M8" s="248">
        <f>+meta8!$Z11</f>
        <v>5.3166682679220513E-2</v>
      </c>
      <c r="N8" s="248">
        <f>+meta9!$AA11</f>
        <v>5.4900000000000004E-2</v>
      </c>
      <c r="O8" s="248">
        <f>+meta10a!AA11</f>
        <v>5.2699999999999997E-2</v>
      </c>
      <c r="P8" s="248">
        <f>+meta10b!Z11</f>
        <v>1.32E-2</v>
      </c>
      <c r="Q8" s="154"/>
      <c r="R8" s="248">
        <f>+meta13!$AL11</f>
        <v>6.1472316681224187E-2</v>
      </c>
      <c r="S8" s="248">
        <f>+meta14!N11</f>
        <v>6.59E-2</v>
      </c>
      <c r="T8" s="248">
        <f>+meta15!N11</f>
        <v>4.5734042279740574E-2</v>
      </c>
      <c r="U8" s="248">
        <f>+meta16!N11</f>
        <v>5.0620011447782227E-2</v>
      </c>
      <c r="V8" s="248">
        <f>+meta17!$AA11</f>
        <v>5.4900000000000004E-2</v>
      </c>
      <c r="W8" s="246">
        <f>+meta18!N11</f>
        <v>4.4000000000000004E-2</v>
      </c>
      <c r="X8" s="249">
        <f t="shared" si="0"/>
        <v>0.80830714638438517</v>
      </c>
      <c r="Z8" s="242"/>
      <c r="AA8" s="242"/>
    </row>
    <row r="9" spans="3:27" ht="15" customHeight="1" x14ac:dyDescent="0.25">
      <c r="C9" s="610" t="s">
        <v>442</v>
      </c>
      <c r="D9" s="248"/>
      <c r="E9" s="248"/>
      <c r="F9" s="248"/>
      <c r="G9" s="248">
        <f>+meta3!$Z11</f>
        <v>6.25E-2</v>
      </c>
      <c r="H9" s="248">
        <f>+meta4!$AL12</f>
        <v>5.0916264396236102E-2</v>
      </c>
      <c r="I9" s="248">
        <f>+meta5!$AA12</f>
        <v>5.4900000000000004E-2</v>
      </c>
      <c r="J9" s="248">
        <f>+meta6.1a!$AA12</f>
        <v>3.3000000000000002E-2</v>
      </c>
      <c r="K9" s="248">
        <f>+meta6.2!$AA12</f>
        <v>6.25E-2</v>
      </c>
      <c r="L9" s="248">
        <f>+meta7!$Z12</f>
        <v>5.4900000000000004E-2</v>
      </c>
      <c r="M9" s="248">
        <f>+meta8!$Z12</f>
        <v>6.25E-2</v>
      </c>
      <c r="N9" s="248">
        <f>+meta9!$AA12</f>
        <v>5.4900000000000004E-2</v>
      </c>
      <c r="O9" s="248">
        <f>+meta10a!AA12</f>
        <v>5.2699999999999997E-2</v>
      </c>
      <c r="P9" s="248">
        <f>+meta10b!Z12</f>
        <v>1.32E-2</v>
      </c>
      <c r="Q9" s="154"/>
      <c r="R9" s="248">
        <f>+meta13!$AL12</f>
        <v>6.4795144609939015E-2</v>
      </c>
      <c r="S9" s="248">
        <f>+meta14!N12</f>
        <v>6.59E-2</v>
      </c>
      <c r="T9" s="248">
        <f>+meta15!N12</f>
        <v>6.59E-2</v>
      </c>
      <c r="U9" s="248">
        <f>+meta16!N12</f>
        <v>6.59E-2</v>
      </c>
      <c r="V9" s="248">
        <f>+meta17!$AA12</f>
        <v>5.4900000000000004E-2</v>
      </c>
      <c r="W9" s="246">
        <f>+meta18!N12</f>
        <v>4.4000000000000004E-2</v>
      </c>
      <c r="X9" s="249">
        <f t="shared" si="0"/>
        <v>0.86341140900617508</v>
      </c>
      <c r="Z9" s="242"/>
      <c r="AA9" s="242"/>
    </row>
    <row r="10" spans="3:27" ht="15" customHeight="1" x14ac:dyDescent="0.25">
      <c r="C10" s="610" t="s">
        <v>443</v>
      </c>
      <c r="D10" s="248"/>
      <c r="E10" s="248"/>
      <c r="F10" s="248"/>
      <c r="G10" s="248">
        <f>+meta3!$Z12</f>
        <v>6.25E-2</v>
      </c>
      <c r="H10" s="248">
        <f>+meta4!$AL13</f>
        <v>4.1949475840118593E-2</v>
      </c>
      <c r="I10" s="248">
        <f>+meta5!$AA13</f>
        <v>5.4900000000000004E-2</v>
      </c>
      <c r="J10" s="248">
        <f>+meta6.1a!$AA13</f>
        <v>3.3000000000000002E-2</v>
      </c>
      <c r="K10" s="248">
        <f>+meta6.2!$AA13</f>
        <v>6.25E-2</v>
      </c>
      <c r="L10" s="248">
        <f>+meta7!$Z13</f>
        <v>5.4900000000000004E-2</v>
      </c>
      <c r="M10" s="248">
        <f>+meta8!$Z13</f>
        <v>6.25E-2</v>
      </c>
      <c r="N10" s="248">
        <f>+meta9!$AA13</f>
        <v>5.4638259081198168E-2</v>
      </c>
      <c r="O10" s="248">
        <f>+meta10a!AA13</f>
        <v>5.2699999999999997E-2</v>
      </c>
      <c r="P10" s="248">
        <f>+meta10b!Z13</f>
        <v>1.1473697782362043E-2</v>
      </c>
      <c r="Q10" s="154"/>
      <c r="R10" s="248">
        <f>+meta13!$AL13</f>
        <v>6.1472316681224187E-2</v>
      </c>
      <c r="S10" s="248">
        <f>+meta14!N13</f>
        <v>6.59E-2</v>
      </c>
      <c r="T10" s="248">
        <f>+meta15!N13</f>
        <v>6.59E-2</v>
      </c>
      <c r="U10" s="248">
        <f>+meta16!N13</f>
        <v>6.59E-2</v>
      </c>
      <c r="V10" s="248">
        <f>+meta17!$AA13</f>
        <v>4.5533906882591096E-2</v>
      </c>
      <c r="W10" s="246">
        <f>+meta18!N13</f>
        <v>4.4000000000000004E-2</v>
      </c>
      <c r="X10" s="249">
        <f t="shared" si="0"/>
        <v>0.83976765626749406</v>
      </c>
      <c r="Z10" s="242"/>
      <c r="AA10" s="242"/>
    </row>
    <row r="11" spans="3:27" ht="15" customHeight="1" x14ac:dyDescent="0.25">
      <c r="C11" s="610" t="s">
        <v>444</v>
      </c>
      <c r="D11" s="248"/>
      <c r="E11" s="248"/>
      <c r="F11" s="248"/>
      <c r="G11" s="248">
        <f>+meta3!$Z13</f>
        <v>6.25E-2</v>
      </c>
      <c r="H11" s="248">
        <f>+meta4!$AL14</f>
        <v>5.0093145268600543E-2</v>
      </c>
      <c r="I11" s="248">
        <f>+meta5!$AA14</f>
        <v>5.4900000000000004E-2</v>
      </c>
      <c r="J11" s="248">
        <f>+meta6.1a!$AA14</f>
        <v>3.3000000000000002E-2</v>
      </c>
      <c r="K11" s="248">
        <f>+meta6.2!$AA14</f>
        <v>6.25E-2</v>
      </c>
      <c r="L11" s="248">
        <f>+meta7!$Z14</f>
        <v>5.4900000000000004E-2</v>
      </c>
      <c r="M11" s="248">
        <f>+meta8!$Z14</f>
        <v>6.25E-2</v>
      </c>
      <c r="N11" s="248">
        <f>+meta9!$AA14</f>
        <v>5.4900000000000004E-2</v>
      </c>
      <c r="O11" s="248">
        <f>+meta10a!AA14</f>
        <v>5.2699999999999997E-2</v>
      </c>
      <c r="P11" s="248">
        <f>+meta10b!Z14</f>
        <v>1.32E-2</v>
      </c>
      <c r="Q11" s="154"/>
      <c r="R11" s="248">
        <f>+meta13!$AL14</f>
        <v>6.59E-2</v>
      </c>
      <c r="S11" s="248">
        <f>+meta14!N14</f>
        <v>0</v>
      </c>
      <c r="T11" s="248">
        <f>+meta15!N14</f>
        <v>6.59E-2</v>
      </c>
      <c r="U11" s="248">
        <f>+meta16!N14</f>
        <v>6.59E-2</v>
      </c>
      <c r="V11" s="248">
        <f>+meta17!$AA14</f>
        <v>5.4900000000000004E-2</v>
      </c>
      <c r="W11" s="246">
        <f>+meta18!N14</f>
        <v>4.4000000000000004E-2</v>
      </c>
      <c r="X11" s="249">
        <f t="shared" si="0"/>
        <v>0.79779314526860046</v>
      </c>
      <c r="Z11" s="242"/>
      <c r="AA11" s="242"/>
    </row>
    <row r="12" spans="3:27" ht="15" customHeight="1" thickBot="1" x14ac:dyDescent="0.3">
      <c r="C12" s="783" t="s">
        <v>445</v>
      </c>
      <c r="D12" s="784"/>
      <c r="E12" s="784"/>
      <c r="F12" s="784"/>
      <c r="G12" s="784">
        <f>+meta3!$Z14</f>
        <v>6.25E-2</v>
      </c>
      <c r="H12" s="784">
        <f>+meta4!$AL15</f>
        <v>4.9217794531686704E-2</v>
      </c>
      <c r="I12" s="784">
        <f>+meta5!$AA15</f>
        <v>5.4900000000000004E-2</v>
      </c>
      <c r="J12" s="784">
        <f>+meta6.1a!$AA15</f>
        <v>1.2044106262026663E-2</v>
      </c>
      <c r="K12" s="784">
        <f>+meta6.2!$AA15</f>
        <v>0</v>
      </c>
      <c r="L12" s="784">
        <f>+meta7!$Z15</f>
        <v>5.4900000000000004E-2</v>
      </c>
      <c r="M12" s="784">
        <f>+meta8!$Z15</f>
        <v>2.057503515009676E-2</v>
      </c>
      <c r="N12" s="784">
        <f>+meta9!$AA15</f>
        <v>5.4900000000000004E-2</v>
      </c>
      <c r="O12" s="784">
        <f>+meta10a!AA15</f>
        <v>5.2699999999999997E-2</v>
      </c>
      <c r="P12" s="784">
        <f>+meta10b!Z15</f>
        <v>1.32E-2</v>
      </c>
      <c r="Q12" s="154"/>
      <c r="R12" s="784">
        <f>+meta13!$AL15</f>
        <v>3.9626782654012288E-2</v>
      </c>
      <c r="S12" s="784">
        <f>+meta14!N15</f>
        <v>6.59E-2</v>
      </c>
      <c r="T12" s="784">
        <f>+meta15!N15</f>
        <v>6.59E-2</v>
      </c>
      <c r="U12" s="784">
        <f>+meta16!N15</f>
        <v>6.59E-2</v>
      </c>
      <c r="V12" s="784">
        <f>+meta17!$AA15</f>
        <v>5.4900000000000004E-2</v>
      </c>
      <c r="W12" s="785">
        <f>+meta18!N15</f>
        <v>4.4000000000000004E-2</v>
      </c>
      <c r="X12" s="786">
        <f t="shared" si="0"/>
        <v>0.71116371859782257</v>
      </c>
      <c r="Z12" s="242"/>
      <c r="AA12" s="242"/>
    </row>
    <row r="13" spans="3:27" ht="15" customHeight="1" thickBot="1" x14ac:dyDescent="0.3">
      <c r="C13" s="787" t="s">
        <v>15</v>
      </c>
      <c r="D13" s="788"/>
      <c r="E13" s="788">
        <f>+meta2.1!$N8</f>
        <v>4.1700000000000001E-2</v>
      </c>
      <c r="F13" s="788">
        <f>+meta2.2!$N8</f>
        <v>4.1700000000000001E-2</v>
      </c>
      <c r="G13" s="788">
        <f>+meta3!$Z16</f>
        <v>6.25E-2</v>
      </c>
      <c r="H13" s="788">
        <f>+meta4!$AL16</f>
        <v>5.1954837057328875E-2</v>
      </c>
      <c r="I13" s="788">
        <f>+meta5!$AA16</f>
        <v>5.4900000000000004E-2</v>
      </c>
      <c r="J13" s="788">
        <f>+meta6.1a!$AA16</f>
        <v>3.3000000000000002E-2</v>
      </c>
      <c r="K13" s="788">
        <f>+meta6.2!$AA16</f>
        <v>6.25E-2</v>
      </c>
      <c r="L13" s="788">
        <f>+meta7!$Z16</f>
        <v>5.4900000000000004E-2</v>
      </c>
      <c r="M13" s="788">
        <f>+meta8!$Z16</f>
        <v>6.25E-2</v>
      </c>
      <c r="N13" s="788">
        <f>+meta9!$AA16</f>
        <v>5.4900000000000004E-2</v>
      </c>
      <c r="O13" s="788">
        <f>+meta10a!AA17</f>
        <v>5.2699999999999997E-2</v>
      </c>
      <c r="P13" s="788">
        <f>+meta10b!Z16</f>
        <v>1.32E-2</v>
      </c>
      <c r="Q13" s="789">
        <f>+meta12!N8</f>
        <v>5.21E-2</v>
      </c>
      <c r="R13" s="788">
        <f>+meta13!$AL16</f>
        <v>6.4306620973616432E-2</v>
      </c>
      <c r="S13" s="788">
        <f>+meta14!N16</f>
        <v>6.59E-2</v>
      </c>
      <c r="T13" s="788">
        <f>+meta15!N16</f>
        <v>6.3877253559578975E-2</v>
      </c>
      <c r="U13" s="788">
        <f>+meta16!N16</f>
        <v>6.2558361666587153E-2</v>
      </c>
      <c r="V13" s="788">
        <f>+meta17!$AA16</f>
        <v>5.4900000000000004E-2</v>
      </c>
      <c r="W13" s="790">
        <f>+meta18!N16</f>
        <v>4.4000000000000004E-2</v>
      </c>
      <c r="X13" s="791">
        <f t="shared" si="0"/>
        <v>0.99409707325711127</v>
      </c>
      <c r="Z13" s="242"/>
      <c r="AA13" s="242"/>
    </row>
  </sheetData>
  <mergeCells count="24"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J15" sqref="J15"/>
    </sheetView>
  </sheetViews>
  <sheetFormatPr baseColWidth="10" defaultColWidth="0" defaultRowHeight="12.75" x14ac:dyDescent="0.2"/>
  <cols>
    <col min="1" max="1" width="3.140625" style="250" customWidth="1"/>
    <col min="2" max="2" width="7.140625" style="250" customWidth="1"/>
    <col min="3" max="3" width="29.28515625" style="250" customWidth="1"/>
    <col min="4" max="4" width="1.28515625" style="250" customWidth="1"/>
    <col min="5" max="5" width="3.85546875" style="251" bestFit="1" customWidth="1"/>
    <col min="6" max="10" width="5.7109375" style="251" bestFit="1" customWidth="1"/>
    <col min="11" max="11" width="5.5703125" style="251" bestFit="1" customWidth="1"/>
    <col min="12" max="16" width="4.7109375" style="251" bestFit="1" customWidth="1"/>
    <col min="17" max="17" width="6.85546875" style="251" bestFit="1" customWidth="1"/>
    <col min="18" max="34" width="6.85546875" style="251" customWidth="1"/>
    <col min="35" max="35" width="2.140625" style="251" bestFit="1" customWidth="1"/>
    <col min="36" max="37" width="2.140625" style="251" customWidth="1"/>
    <col min="38" max="42" width="5.7109375" style="251" bestFit="1" customWidth="1"/>
    <col min="43" max="45" width="5" style="251" bestFit="1" customWidth="1"/>
    <col min="46" max="46" width="4.42578125" style="251" bestFit="1" customWidth="1"/>
    <col min="47" max="49" width="5" style="251" bestFit="1" customWidth="1"/>
    <col min="50" max="50" width="6.85546875" style="251" bestFit="1" customWidth="1"/>
    <col min="51" max="51" width="2.140625" style="251" bestFit="1" customWidth="1"/>
    <col min="52" max="57" width="4.5703125" style="251" bestFit="1" customWidth="1"/>
    <col min="58" max="63" width="4.42578125" style="251" bestFit="1" customWidth="1"/>
    <col min="64" max="64" width="5.7109375" style="251" bestFit="1" customWidth="1"/>
    <col min="65" max="65" width="3.42578125" style="251" customWidth="1"/>
    <col min="66" max="71" width="4.5703125" style="251" bestFit="1" customWidth="1"/>
    <col min="72" max="77" width="4.42578125" style="251" bestFit="1" customWidth="1"/>
    <col min="78" max="78" width="5.7109375" style="251" bestFit="1" customWidth="1"/>
    <col min="80" max="80" width="4.5703125" style="251" bestFit="1" customWidth="1"/>
    <col min="81" max="81" width="4.7109375" style="251" bestFit="1" customWidth="1"/>
    <col min="82" max="91" width="4.85546875" style="251" customWidth="1"/>
    <col min="92" max="92" width="5.7109375" style="251" customWidth="1"/>
    <col min="93" max="93" width="1.42578125" style="252" customWidth="1"/>
    <col min="94" max="99" width="5.7109375" style="251" bestFit="1" customWidth="1"/>
    <col min="100" max="101" width="6.42578125" style="251" customWidth="1"/>
    <col min="102" max="102" width="5.140625" style="251" bestFit="1" customWidth="1"/>
    <col min="103" max="103" width="4" style="251" bestFit="1" customWidth="1"/>
    <col min="104" max="105" width="5.5703125" style="251" bestFit="1" customWidth="1"/>
    <col min="106" max="106" width="6.85546875" style="251" bestFit="1" customWidth="1"/>
    <col min="107" max="108" width="4.7109375" style="251" bestFit="1" customWidth="1"/>
    <col min="109" max="109" width="4.7109375" style="251" customWidth="1"/>
    <col min="110" max="110" width="5.28515625" style="251" customWidth="1"/>
    <col min="111" max="114" width="4.42578125" style="251" customWidth="1"/>
    <col min="115" max="115" width="4.7109375" style="251" bestFit="1" customWidth="1"/>
    <col min="116" max="117" width="4.42578125" style="251" customWidth="1"/>
    <col min="118" max="118" width="4.7109375" style="251" bestFit="1" customWidth="1"/>
    <col min="119" max="119" width="7.28515625" style="251" customWidth="1"/>
    <col min="120" max="213" width="11.42578125" customWidth="1"/>
    <col min="214" max="218" width="1.28515625" style="251" hidden="1" customWidth="1"/>
    <col min="219" max="227" width="0" style="251" hidden="1" customWidth="1"/>
    <col min="228" max="232" width="1.28515625" style="251" hidden="1" customWidth="1"/>
    <col min="233" max="242" width="0" style="251" hidden="1" customWidth="1"/>
    <col min="243" max="247" width="1.28515625" style="251" hidden="1" customWidth="1"/>
    <col min="248" max="257" width="0" style="251" hidden="1" customWidth="1"/>
    <col min="258" max="261" width="1.28515625" style="251" hidden="1" customWidth="1"/>
    <col min="262" max="271" width="0" style="251" hidden="1" customWidth="1"/>
    <col min="272" max="16384" width="1.28515625" style="251" hidden="1"/>
  </cols>
  <sheetData>
    <row r="1" spans="2:214" ht="15.75" customHeight="1" x14ac:dyDescent="0.2">
      <c r="CP1" s="253"/>
      <c r="CQ1" s="253"/>
      <c r="CR1" s="253"/>
      <c r="CS1" s="253"/>
      <c r="CT1" s="253"/>
      <c r="CU1" s="253"/>
    </row>
    <row r="2" spans="2:214" ht="84.75" customHeight="1" x14ac:dyDescent="0.3">
      <c r="C2" s="254" t="str">
        <f>+NOMBRE!B7</f>
        <v>ENERO - MAYO 2024</v>
      </c>
      <c r="E2" s="968" t="s">
        <v>509</v>
      </c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70"/>
      <c r="R2" s="742"/>
      <c r="S2" s="968" t="s">
        <v>510</v>
      </c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70"/>
      <c r="AF2" s="742"/>
      <c r="AG2" s="742"/>
      <c r="AH2" s="742"/>
      <c r="AI2" s="255"/>
      <c r="AJ2" s="255"/>
      <c r="AK2" s="255"/>
      <c r="AL2" s="968" t="s">
        <v>185</v>
      </c>
      <c r="AM2" s="969"/>
      <c r="AN2" s="969"/>
      <c r="AO2" s="969"/>
      <c r="AP2" s="969"/>
      <c r="AQ2" s="969"/>
      <c r="AR2" s="969"/>
      <c r="AS2" s="969"/>
      <c r="AT2" s="969"/>
      <c r="AU2" s="969"/>
      <c r="AV2" s="969"/>
      <c r="AW2" s="969"/>
      <c r="AX2" s="970"/>
      <c r="AY2" s="255"/>
      <c r="AZ2" s="968" t="s">
        <v>186</v>
      </c>
      <c r="BA2" s="969"/>
      <c r="BB2" s="969"/>
      <c r="BC2" s="969"/>
      <c r="BD2" s="969"/>
      <c r="BE2" s="969"/>
      <c r="BF2" s="969"/>
      <c r="BG2" s="969"/>
      <c r="BH2" s="969"/>
      <c r="BI2" s="969"/>
      <c r="BJ2" s="969"/>
      <c r="BK2" s="969"/>
      <c r="BL2" s="970"/>
      <c r="BM2" s="255"/>
      <c r="BN2" s="968" t="s">
        <v>187</v>
      </c>
      <c r="BO2" s="969"/>
      <c r="BP2" s="969"/>
      <c r="BQ2" s="969"/>
      <c r="BR2" s="969"/>
      <c r="BS2" s="969"/>
      <c r="BT2" s="969"/>
      <c r="BU2" s="969"/>
      <c r="BV2" s="969"/>
      <c r="BW2" s="969"/>
      <c r="BX2" s="969"/>
      <c r="BY2" s="969"/>
      <c r="BZ2" s="970"/>
      <c r="CB2" s="968" t="s">
        <v>450</v>
      </c>
      <c r="CC2" s="969"/>
      <c r="CD2" s="969"/>
      <c r="CE2" s="969"/>
      <c r="CF2" s="969"/>
      <c r="CG2" s="969"/>
      <c r="CH2" s="969"/>
      <c r="CI2" s="969"/>
      <c r="CJ2" s="969"/>
      <c r="CK2" s="969"/>
      <c r="CL2" s="969"/>
      <c r="CM2" s="969"/>
      <c r="CN2" s="970"/>
      <c r="CO2" s="255"/>
      <c r="CP2" s="968" t="s">
        <v>451</v>
      </c>
      <c r="CQ2" s="969"/>
      <c r="CR2" s="969"/>
      <c r="CS2" s="969"/>
      <c r="CT2" s="969"/>
      <c r="CU2" s="969"/>
      <c r="CV2" s="969"/>
      <c r="CW2" s="969"/>
      <c r="CX2" s="969"/>
      <c r="CY2" s="969"/>
      <c r="CZ2" s="969"/>
      <c r="DA2" s="969"/>
      <c r="DB2" s="970"/>
      <c r="DC2" s="968" t="s">
        <v>452</v>
      </c>
      <c r="DD2" s="969"/>
      <c r="DE2" s="969"/>
      <c r="DF2" s="969"/>
      <c r="DG2" s="969"/>
      <c r="DH2" s="969"/>
      <c r="DI2" s="969"/>
      <c r="DJ2" s="969"/>
      <c r="DK2" s="969"/>
      <c r="DL2" s="969"/>
      <c r="DM2" s="969"/>
      <c r="DN2" s="969"/>
      <c r="DO2" s="970"/>
      <c r="HF2" s="256"/>
    </row>
    <row r="3" spans="2:214" ht="6.75" customHeight="1" x14ac:dyDescent="0.2"/>
    <row r="4" spans="2:214" s="257" customFormat="1" ht="12" x14ac:dyDescent="0.2">
      <c r="E4" s="967" t="s">
        <v>188</v>
      </c>
      <c r="F4" s="967"/>
      <c r="G4" s="967"/>
      <c r="H4" s="967"/>
      <c r="I4" s="967"/>
      <c r="J4" s="967"/>
      <c r="K4" s="967"/>
      <c r="L4" s="967"/>
      <c r="M4" s="967"/>
      <c r="N4" s="967"/>
      <c r="O4" s="967"/>
      <c r="P4" s="967"/>
      <c r="Q4" s="967"/>
      <c r="R4" s="743"/>
      <c r="S4" s="967" t="s">
        <v>188</v>
      </c>
      <c r="T4" s="967"/>
      <c r="U4" s="967"/>
      <c r="V4" s="967"/>
      <c r="W4" s="967"/>
      <c r="X4" s="967"/>
      <c r="Y4" s="967"/>
      <c r="Z4" s="967"/>
      <c r="AA4" s="967"/>
      <c r="AB4" s="967"/>
      <c r="AC4" s="967"/>
      <c r="AD4" s="967"/>
      <c r="AE4" s="967"/>
      <c r="AF4" s="743"/>
      <c r="AG4" s="743"/>
      <c r="AH4" s="743"/>
      <c r="AI4" s="258"/>
      <c r="AJ4" s="258"/>
      <c r="AK4" s="258"/>
      <c r="AL4" s="967" t="s">
        <v>188</v>
      </c>
      <c r="AM4" s="967"/>
      <c r="AN4" s="967"/>
      <c r="AO4" s="967"/>
      <c r="AP4" s="967"/>
      <c r="AQ4" s="967"/>
      <c r="AR4" s="967"/>
      <c r="AS4" s="967"/>
      <c r="AT4" s="967"/>
      <c r="AU4" s="967"/>
      <c r="AV4" s="967"/>
      <c r="AW4" s="967"/>
      <c r="AX4" s="967"/>
      <c r="AY4" s="258"/>
      <c r="AZ4" s="967" t="s">
        <v>188</v>
      </c>
      <c r="BA4" s="967"/>
      <c r="BB4" s="967"/>
      <c r="BC4" s="967"/>
      <c r="BD4" s="967"/>
      <c r="BE4" s="967"/>
      <c r="BF4" s="967"/>
      <c r="BG4" s="967"/>
      <c r="BH4" s="967"/>
      <c r="BI4" s="967"/>
      <c r="BJ4" s="967"/>
      <c r="BK4" s="967"/>
      <c r="BL4" s="967"/>
      <c r="BM4" s="258"/>
      <c r="BN4" s="967" t="s">
        <v>188</v>
      </c>
      <c r="BO4" s="967"/>
      <c r="BP4" s="967"/>
      <c r="BQ4" s="967"/>
      <c r="BR4" s="967"/>
      <c r="BS4" s="967"/>
      <c r="BT4" s="967"/>
      <c r="BU4" s="967"/>
      <c r="BV4" s="967"/>
      <c r="BW4" s="967"/>
      <c r="BX4" s="967"/>
      <c r="BY4" s="967"/>
      <c r="BZ4" s="967"/>
      <c r="CB4" s="967" t="s">
        <v>188</v>
      </c>
      <c r="CC4" s="967"/>
      <c r="CD4" s="967"/>
      <c r="CE4" s="967"/>
      <c r="CF4" s="967"/>
      <c r="CG4" s="967"/>
      <c r="CH4" s="967"/>
      <c r="CI4" s="967"/>
      <c r="CJ4" s="967"/>
      <c r="CK4" s="967"/>
      <c r="CL4" s="967"/>
      <c r="CM4" s="967"/>
      <c r="CN4" s="967"/>
      <c r="CO4" s="259"/>
      <c r="CP4" s="967" t="s">
        <v>188</v>
      </c>
      <c r="CQ4" s="967"/>
      <c r="CR4" s="967"/>
      <c r="CS4" s="967"/>
      <c r="CT4" s="967"/>
      <c r="CU4" s="967"/>
      <c r="CV4" s="967"/>
      <c r="CW4" s="967"/>
      <c r="CX4" s="967"/>
      <c r="CY4" s="967"/>
      <c r="CZ4" s="967"/>
      <c r="DA4" s="967"/>
      <c r="DB4" s="967"/>
      <c r="DC4" s="967" t="s">
        <v>188</v>
      </c>
      <c r="DD4" s="967"/>
      <c r="DE4" s="967"/>
      <c r="DF4" s="967"/>
      <c r="DG4" s="967"/>
      <c r="DH4" s="967"/>
      <c r="DI4" s="967"/>
      <c r="DJ4" s="967"/>
      <c r="DK4" s="967"/>
      <c r="DL4" s="967"/>
      <c r="DM4" s="967"/>
      <c r="DN4" s="967"/>
      <c r="DO4" s="967"/>
      <c r="DP4" s="258"/>
    </row>
    <row r="5" spans="2:214" s="260" customFormat="1" ht="12" x14ac:dyDescent="0.2">
      <c r="B5" s="148" t="s">
        <v>93</v>
      </c>
      <c r="C5" s="149" t="s">
        <v>94</v>
      </c>
      <c r="E5" s="261" t="s">
        <v>189</v>
      </c>
      <c r="F5" s="261" t="s">
        <v>190</v>
      </c>
      <c r="G5" s="261" t="s">
        <v>191</v>
      </c>
      <c r="H5" s="261" t="s">
        <v>192</v>
      </c>
      <c r="I5" s="261" t="s">
        <v>193</v>
      </c>
      <c r="J5" s="261" t="s">
        <v>194</v>
      </c>
      <c r="K5" s="261" t="s">
        <v>195</v>
      </c>
      <c r="L5" s="261" t="s">
        <v>196</v>
      </c>
      <c r="M5" s="437" t="s">
        <v>197</v>
      </c>
      <c r="N5" s="437" t="s">
        <v>198</v>
      </c>
      <c r="O5" s="437" t="s">
        <v>199</v>
      </c>
      <c r="P5" s="437" t="s">
        <v>200</v>
      </c>
      <c r="Q5" s="262" t="s">
        <v>201</v>
      </c>
      <c r="R5" s="744"/>
      <c r="S5" s="261" t="s">
        <v>189</v>
      </c>
      <c r="T5" s="261" t="s">
        <v>190</v>
      </c>
      <c r="U5" s="261" t="s">
        <v>191</v>
      </c>
      <c r="V5" s="261" t="s">
        <v>192</v>
      </c>
      <c r="W5" s="261" t="s">
        <v>193</v>
      </c>
      <c r="X5" s="261" t="s">
        <v>194</v>
      </c>
      <c r="Y5" s="261" t="s">
        <v>195</v>
      </c>
      <c r="Z5" s="261" t="s">
        <v>196</v>
      </c>
      <c r="AA5" s="437" t="s">
        <v>197</v>
      </c>
      <c r="AB5" s="437" t="s">
        <v>198</v>
      </c>
      <c r="AC5" s="437" t="s">
        <v>199</v>
      </c>
      <c r="AD5" s="437" t="s">
        <v>200</v>
      </c>
      <c r="AE5" s="262" t="s">
        <v>201</v>
      </c>
      <c r="AF5" s="744"/>
      <c r="AG5" s="744"/>
      <c r="AH5" s="744"/>
      <c r="AI5" s="258"/>
      <c r="AJ5" s="258"/>
      <c r="AK5" s="258"/>
      <c r="AL5" s="261" t="s">
        <v>189</v>
      </c>
      <c r="AM5" s="261" t="s">
        <v>190</v>
      </c>
      <c r="AN5" s="261" t="s">
        <v>191</v>
      </c>
      <c r="AO5" s="261" t="s">
        <v>192</v>
      </c>
      <c r="AP5" s="261" t="s">
        <v>193</v>
      </c>
      <c r="AQ5" s="261" t="s">
        <v>194</v>
      </c>
      <c r="AR5" s="261" t="s">
        <v>195</v>
      </c>
      <c r="AS5" s="261" t="s">
        <v>196</v>
      </c>
      <c r="AT5" s="437" t="s">
        <v>197</v>
      </c>
      <c r="AU5" s="437" t="s">
        <v>198</v>
      </c>
      <c r="AV5" s="437" t="s">
        <v>199</v>
      </c>
      <c r="AW5" s="437" t="s">
        <v>200</v>
      </c>
      <c r="AX5" s="262" t="s">
        <v>201</v>
      </c>
      <c r="AY5" s="258"/>
      <c r="AZ5" s="261" t="s">
        <v>189</v>
      </c>
      <c r="BA5" s="261" t="s">
        <v>190</v>
      </c>
      <c r="BB5" s="261" t="s">
        <v>191</v>
      </c>
      <c r="BC5" s="261" t="s">
        <v>192</v>
      </c>
      <c r="BD5" s="261" t="s">
        <v>193</v>
      </c>
      <c r="BE5" s="261" t="s">
        <v>194</v>
      </c>
      <c r="BF5" s="261" t="s">
        <v>195</v>
      </c>
      <c r="BG5" s="261" t="s">
        <v>196</v>
      </c>
      <c r="BH5" s="437" t="s">
        <v>197</v>
      </c>
      <c r="BI5" s="437" t="s">
        <v>198</v>
      </c>
      <c r="BJ5" s="437" t="s">
        <v>199</v>
      </c>
      <c r="BK5" s="437" t="s">
        <v>200</v>
      </c>
      <c r="BL5" s="262" t="s">
        <v>201</v>
      </c>
      <c r="BM5" s="258"/>
      <c r="BN5" s="261" t="s">
        <v>189</v>
      </c>
      <c r="BO5" s="261" t="s">
        <v>190</v>
      </c>
      <c r="BP5" s="261" t="s">
        <v>191</v>
      </c>
      <c r="BQ5" s="261" t="s">
        <v>192</v>
      </c>
      <c r="BR5" s="261" t="s">
        <v>193</v>
      </c>
      <c r="BS5" s="261" t="s">
        <v>194</v>
      </c>
      <c r="BT5" s="261" t="s">
        <v>195</v>
      </c>
      <c r="BU5" s="261" t="s">
        <v>196</v>
      </c>
      <c r="BV5" s="437" t="s">
        <v>197</v>
      </c>
      <c r="BW5" s="437" t="s">
        <v>198</v>
      </c>
      <c r="BX5" s="437" t="s">
        <v>199</v>
      </c>
      <c r="BY5" s="437" t="s">
        <v>200</v>
      </c>
      <c r="BZ5" s="262" t="s">
        <v>201</v>
      </c>
      <c r="CB5" s="261" t="s">
        <v>189</v>
      </c>
      <c r="CC5" s="261" t="s">
        <v>190</v>
      </c>
      <c r="CD5" s="261" t="s">
        <v>191</v>
      </c>
      <c r="CE5" s="261" t="s">
        <v>192</v>
      </c>
      <c r="CF5" s="261" t="s">
        <v>193</v>
      </c>
      <c r="CG5" s="261" t="s">
        <v>194</v>
      </c>
      <c r="CH5" s="261" t="s">
        <v>195</v>
      </c>
      <c r="CI5" s="261" t="s">
        <v>196</v>
      </c>
      <c r="CJ5" s="437" t="s">
        <v>197</v>
      </c>
      <c r="CK5" s="437" t="s">
        <v>198</v>
      </c>
      <c r="CL5" s="437" t="s">
        <v>199</v>
      </c>
      <c r="CM5" s="437" t="s">
        <v>200</v>
      </c>
      <c r="CN5" s="262" t="s">
        <v>201</v>
      </c>
      <c r="CO5" s="258"/>
      <c r="CP5" s="261" t="s">
        <v>189</v>
      </c>
      <c r="CQ5" s="261" t="s">
        <v>190</v>
      </c>
      <c r="CR5" s="261" t="s">
        <v>191</v>
      </c>
      <c r="CS5" s="261" t="s">
        <v>192</v>
      </c>
      <c r="CT5" s="261" t="s">
        <v>193</v>
      </c>
      <c r="CU5" s="261" t="s">
        <v>194</v>
      </c>
      <c r="CV5" s="261" t="s">
        <v>195</v>
      </c>
      <c r="CW5" s="261" t="s">
        <v>196</v>
      </c>
      <c r="CX5" s="437" t="s">
        <v>197</v>
      </c>
      <c r="CY5" s="437" t="s">
        <v>198</v>
      </c>
      <c r="CZ5" s="437" t="s">
        <v>199</v>
      </c>
      <c r="DA5" s="437" t="s">
        <v>200</v>
      </c>
      <c r="DB5" s="262" t="s">
        <v>201</v>
      </c>
      <c r="DC5" s="261" t="s">
        <v>189</v>
      </c>
      <c r="DD5" s="261" t="s">
        <v>190</v>
      </c>
      <c r="DE5" s="261" t="s">
        <v>191</v>
      </c>
      <c r="DF5" s="261" t="s">
        <v>192</v>
      </c>
      <c r="DG5" s="261" t="s">
        <v>193</v>
      </c>
      <c r="DH5" s="261" t="s">
        <v>194</v>
      </c>
      <c r="DI5" s="261" t="s">
        <v>195</v>
      </c>
      <c r="DJ5" s="261" t="s">
        <v>196</v>
      </c>
      <c r="DK5" s="261" t="s">
        <v>197</v>
      </c>
      <c r="DL5" s="261" t="s">
        <v>198</v>
      </c>
      <c r="DM5" s="261" t="s">
        <v>199</v>
      </c>
      <c r="DN5" s="261" t="s">
        <v>200</v>
      </c>
      <c r="DO5" s="262" t="s">
        <v>201</v>
      </c>
      <c r="DP5" s="258"/>
    </row>
    <row r="6" spans="2:214" s="260" customFormat="1" ht="12" x14ac:dyDescent="0.2">
      <c r="B6" s="265">
        <v>107307</v>
      </c>
      <c r="C6" s="151" t="s">
        <v>95</v>
      </c>
      <c r="E6" s="615">
        <f>SUM([2]A02!$F$21,[2]A02!$H$21,[2]A02!$J$21,[2]A02!$L$21,[2]A02!$N$21,[2]A02!$P$21,[2]A02!$R$21,[2]A02!$T$21,[2]A02!$V$21,[2]A02!$X$21)</f>
        <v>55</v>
      </c>
      <c r="F6" s="615">
        <f>SUM([3]A02!$F$21,[3]A02!$H$21,[3]A02!$J$21,[3]A02!$L$21,[3]A02!$N$21,[3]A02!$P$21,[3]A02!$R$21,[3]A02!$T$21,[3]A02!$V$21,[3]A02!$X$21)</f>
        <v>19</v>
      </c>
      <c r="G6" s="615">
        <f>SUM([4]A02!$F$21,[4]A02!$H$21,[4]A02!$J$21,[4]A02!$L$21,[4]A02!$N$21,[4]A02!$P$21,[4]A02!$R$21,[4]A02!$T$21,[4]A02!$V$21,[4]A02!$X$21)</f>
        <v>26</v>
      </c>
      <c r="H6" s="615">
        <f>SUM([5]A02!$F$21,[5]A02!$H$21,[5]A02!$J$21,[5]A02!$L$21,[5]A02!$N$21,[5]A02!$P$21,[5]A02!$R$21,[5]A02!$T$21,[5]A02!$V$21,[5]A02!$X$21)</f>
        <v>56</v>
      </c>
      <c r="I6" s="615">
        <f>SUM([6]A02!$F$21,[6]A02!$H$21,[6]A02!$J$21,[6]A02!$L$21,[6]A02!$N$21,[6]A02!$P$21,[6]A02!$R$21,[6]A02!$T$21,[6]A02!$V$21,[6]A02!$X$21)</f>
        <v>102</v>
      </c>
      <c r="J6" s="615">
        <f>SUM([7]A02!$F$21,[7]A02!$H$21,[7]A02!$J$21,[7]A02!$L$21,[7]A02!$N$21,[7]A02!$P$21,[7]A02!$R$21,[7]A02!$T$21,[7]A02!$V$21,[7]A02!$X$21)</f>
        <v>0</v>
      </c>
      <c r="K6" s="258"/>
      <c r="L6" s="258"/>
      <c r="M6" s="436"/>
      <c r="N6" s="436"/>
      <c r="O6" s="436"/>
      <c r="P6" s="436"/>
      <c r="Q6" s="264">
        <f>SUM(E6:P6)</f>
        <v>258</v>
      </c>
      <c r="R6" s="745"/>
      <c r="S6" s="615">
        <f>SUM([2]A02!$E$21,[2]A02!$G$21,[2]A02!$I$21,[2]A02!$K$21,[2]A02!$M$21,[2]A02!$O$21,[2]A02!$Q$21,[2]A02!$S$21,[2]A02!$U$21,[2]A02!$W$21)</f>
        <v>21</v>
      </c>
      <c r="T6" s="615">
        <f>SUM([3]A02!$E$21,[3]A02!$G$21,[3]A02!$I$21,[3]A02!$K$21,[3]A02!$M$21,[3]A02!$O$21,[3]A02!$Q$21,[3]A02!$S$21,[3]A02!$U$21,[3]A02!$W$21)</f>
        <v>24</v>
      </c>
      <c r="U6" s="615">
        <f>SUM([4]A02!$E$21,[4]A02!$G$21,[4]A02!$I$21,[4]A02!$K$21,[4]A02!$M$21,[4]A02!$O$21,[4]A02!$Q$21,[4]A02!$S$21,[4]A02!$U$21,[4]A02!$W$21)</f>
        <v>15</v>
      </c>
      <c r="V6" s="615">
        <f>SUM([5]A02!$E$21,[5]A02!$G$21,[5]A02!$I$21,[5]A02!$K$21,[5]A02!$M$21,[5]A02!$O$21,[5]A02!$Q$21,[5]A02!$S$21,[5]A02!$U$21,[5]A02!$W$21)</f>
        <v>23</v>
      </c>
      <c r="W6" s="615">
        <f>SUM([6]A02!$E$21,[6]A02!$G$21,[6]A02!$I$21,[6]A02!$K$21,[6]A02!$M$21,[6]A02!$O$21,[6]A02!$Q$21,[6]A02!$S$21,[6]A02!$U$21,[6]A02!$W$21)</f>
        <v>28</v>
      </c>
      <c r="X6" s="615">
        <f>SUM([7]A02!$E$21,[7]A02!$G$21,[7]A02!$I$21,[7]A02!$K$21,[7]A02!$M$21,[7]A02!$O$21,[7]A02!$Q$21,[7]A02!$S$21,[7]A02!$U$21,[7]A02!$W$21)</f>
        <v>0</v>
      </c>
      <c r="Y6" s="258"/>
      <c r="Z6" s="258"/>
      <c r="AA6" s="436"/>
      <c r="AB6" s="436"/>
      <c r="AC6" s="436"/>
      <c r="AD6" s="436"/>
      <c r="AE6" s="264">
        <f>SUM(S6:AD6)</f>
        <v>111</v>
      </c>
      <c r="AF6" s="745"/>
      <c r="AG6" s="745"/>
      <c r="AH6" s="745"/>
      <c r="AI6" s="258"/>
      <c r="AJ6" s="258"/>
      <c r="AK6" s="258"/>
      <c r="AL6" s="615">
        <f>SUM([2]A02!$Y$21:$AF$21)</f>
        <v>264</v>
      </c>
      <c r="AM6" s="615">
        <f>SUM([3]A02!$Y$21:$AF$21)</f>
        <v>151</v>
      </c>
      <c r="AN6" s="615">
        <f>SUM([4]A02!$Y$21:$AF$21)</f>
        <v>129</v>
      </c>
      <c r="AO6" s="615">
        <f>SUM([5]A02!$Y$21:$AF$21)</f>
        <v>249</v>
      </c>
      <c r="AP6" s="615">
        <f>SUM([6]A02!$Y$21:$AF$21)</f>
        <v>200</v>
      </c>
      <c r="AQ6" s="615">
        <f>SUM([7]A02!$Y$21:$AF$21)</f>
        <v>0</v>
      </c>
      <c r="AR6" s="258"/>
      <c r="AS6" s="258"/>
      <c r="AT6" s="436"/>
      <c r="AU6" s="436"/>
      <c r="AV6" s="436"/>
      <c r="AW6" s="436"/>
      <c r="AX6" s="264">
        <f>SUM(AL6:AW6)</f>
        <v>993</v>
      </c>
      <c r="AY6" s="258"/>
      <c r="AZ6" s="615">
        <f>[2]A05!$C$13</f>
        <v>15</v>
      </c>
      <c r="BA6" s="615">
        <f>[3]A05!$C$13</f>
        <v>28</v>
      </c>
      <c r="BB6" s="615">
        <f>[4]A05!$C$13</f>
        <v>18</v>
      </c>
      <c r="BC6" s="615">
        <f>[5]A05!$C$13</f>
        <v>25</v>
      </c>
      <c r="BD6" s="615">
        <f>[6]A05!$C$13</f>
        <v>19</v>
      </c>
      <c r="BE6" s="615">
        <f>[7]A05!$C$13</f>
        <v>0</v>
      </c>
      <c r="BF6" s="258"/>
      <c r="BG6" s="258"/>
      <c r="BH6" s="436"/>
      <c r="BI6" s="436"/>
      <c r="BJ6" s="436"/>
      <c r="BK6" s="436"/>
      <c r="BL6" s="264">
        <f>SUM(AZ6:BK6)</f>
        <v>105</v>
      </c>
      <c r="BM6" s="258"/>
      <c r="BN6" s="615">
        <f>[2]A05!$C$11</f>
        <v>17</v>
      </c>
      <c r="BO6" s="615">
        <f>[3]A05!$C$11</f>
        <v>29</v>
      </c>
      <c r="BP6" s="615">
        <f>[4]A05!$C$11</f>
        <v>18</v>
      </c>
      <c r="BQ6" s="615">
        <f>[5]A05!$C$11</f>
        <v>26</v>
      </c>
      <c r="BR6" s="615">
        <f>[6]A05!$C$11</f>
        <v>20</v>
      </c>
      <c r="BS6" s="615">
        <f>[7]A05!$C$11</f>
        <v>0</v>
      </c>
      <c r="BT6" s="258"/>
      <c r="BU6" s="258"/>
      <c r="BV6" s="436"/>
      <c r="BW6" s="436"/>
      <c r="BX6" s="436"/>
      <c r="BY6" s="436"/>
      <c r="BZ6" s="264">
        <f>SUM(BN6:BY6)</f>
        <v>110</v>
      </c>
      <c r="CB6" s="615">
        <f>SUM([2]A03!$J$21:$M$24)</f>
        <v>22</v>
      </c>
      <c r="CC6" s="615">
        <f>SUM([3]A03!$J$21:$M$24)</f>
        <v>25</v>
      </c>
      <c r="CD6" s="615">
        <f>SUM([4]A03!$J$21:$M$24)</f>
        <v>17</v>
      </c>
      <c r="CE6" s="615">
        <f>SUM([5]A03!$J$21:$M$24)</f>
        <v>17</v>
      </c>
      <c r="CF6" s="615">
        <f>SUM([6]A03!$J$21:$M$24)</f>
        <v>10</v>
      </c>
      <c r="CG6" s="615">
        <f>SUM([7]A03!$J$21:$M$24)</f>
        <v>0</v>
      </c>
      <c r="CH6" s="258"/>
      <c r="CI6" s="258"/>
      <c r="CJ6" s="436"/>
      <c r="CK6" s="436"/>
      <c r="CL6" s="436"/>
      <c r="CM6" s="436"/>
      <c r="CN6" s="264">
        <f>SUM(CB6:CM6)</f>
        <v>91</v>
      </c>
      <c r="CO6" s="258"/>
      <c r="CP6" s="615">
        <f>SUM([2]A26!$C$10:$C$35,[2]A26!$C$40:$E$41,[2]A33!$B$44)</f>
        <v>151</v>
      </c>
      <c r="CQ6" s="615">
        <f>SUM([3]A26!$C$10:$C$35,[3]A26!$C$40:$E$41,[3]A33!$B$44)</f>
        <v>90</v>
      </c>
      <c r="CR6" s="615">
        <f>SUM([4]A26!$C$10:$C$35,[4]A26!$C$40:$E$41,[4]A33!$B$44)</f>
        <v>142</v>
      </c>
      <c r="CS6" s="615">
        <f>SUM([5]A26!$C$10:$C$35,[5]A26!$C$40:$E$41,[5]A33!$B$44)</f>
        <v>126</v>
      </c>
      <c r="CT6" s="615">
        <f>SUM([6]A26!$C$10:$C$35,[6]A26!$C$40:$E$41,[6]A33!$B$44)</f>
        <v>130</v>
      </c>
      <c r="CU6" s="615">
        <f>SUM([7]A26!$C$10:$C$35,[7]A26!$C$40:$E$41,[7]A33!$B$44)</f>
        <v>0</v>
      </c>
      <c r="CV6" s="258"/>
      <c r="CW6" s="258"/>
      <c r="CX6" s="436"/>
      <c r="CY6" s="436"/>
      <c r="CZ6" s="436"/>
      <c r="DA6" s="436"/>
      <c r="DB6" s="264">
        <f>SUM(CP6:DA6)</f>
        <v>639</v>
      </c>
      <c r="DC6" s="615">
        <f>SUM([2]A01!$C$74,[2]A01!$F$74,[2]A32!$B$186:$B$187,[2]A32!$E$186:$E$187)</f>
        <v>0</v>
      </c>
      <c r="DD6" s="615">
        <f>SUM([3]A01!$C$74,[3]A01!$F$74,[3]A32!$B$186:$B$187,[3]A32!$E$186:$E$187)</f>
        <v>62</v>
      </c>
      <c r="DE6" s="615">
        <f>SUM([4]A01!$C$74,[4]A01!$F$74,[4]A32!$B$186:$B$187,[4]A32!$E$186:$E$187)</f>
        <v>29</v>
      </c>
      <c r="DF6" s="615">
        <f>SUM([5]A01!$C$74,[5]A01!$F$74,[5]A32!$B$186:$B$187,[5]A32!$E$186:$E$187)</f>
        <v>47</v>
      </c>
      <c r="DG6" s="615">
        <f>SUM([6]A01!$C$74,[6]A01!$F$74,[6]A32!$B$186:$B$187,[6]A32!$E$186:$E$187)</f>
        <v>47</v>
      </c>
      <c r="DH6" s="615">
        <f>SUM([7]A01!$C$74,[7]A01!$F$74,[7]A32!$B$186:$B$187,[7]A32!$E$186:$E$187)</f>
        <v>0</v>
      </c>
      <c r="DI6" s="258"/>
      <c r="DJ6" s="258"/>
      <c r="DK6" s="436"/>
      <c r="DL6" s="436"/>
      <c r="DM6" s="436"/>
      <c r="DN6" s="436"/>
      <c r="DO6" s="264">
        <f>SUM(DC6:DN6)</f>
        <v>185</v>
      </c>
      <c r="DP6" s="258"/>
    </row>
    <row r="7" spans="2:214" s="260" customFormat="1" ht="12" x14ac:dyDescent="0.2">
      <c r="B7" s="265">
        <v>107308</v>
      </c>
      <c r="C7" s="151" t="s">
        <v>96</v>
      </c>
      <c r="E7" s="615">
        <f>SUM([8]A02!$F$21,[8]A02!$H$21,[8]A02!$J$21,[8]A02!$L$21,[8]A02!$N$21,[8]A02!$P$21,[8]A02!$R$21,[8]A02!$T$21,[8]A02!$V$21,[8]A02!$X$21)</f>
        <v>52</v>
      </c>
      <c r="F7" s="615">
        <f>SUM([9]A02!$F$21,[9]A02!$H$21,[9]A02!$J$21,[9]A02!$L$21,[9]A02!$N$21,[9]A02!$P$21,[9]A02!$R$21,[9]A02!$T$21,[9]A02!$V$21,[9]A02!$X$21)</f>
        <v>28</v>
      </c>
      <c r="G7" s="615">
        <f>SUM([10]A02!$F$21,[10]A02!$H$21,[10]A02!$J$21,[10]A02!$L$21,[10]A02!$N$21,[10]A02!$P$21,[10]A02!$R$21,[10]A02!$T$21,[10]A02!$V$21,[10]A02!$X$21)</f>
        <v>23</v>
      </c>
      <c r="H7" s="615">
        <f>SUM([11]A02!$F$21,[11]A02!$H$21,[11]A02!$J$21,[11]A02!$L$21,[11]A02!$N$21,[11]A02!$P$21,[11]A02!$R$21,[11]A02!$T$21,[11]A02!$V$21,[11]A02!$X$21)</f>
        <v>104</v>
      </c>
      <c r="I7" s="615">
        <f>SUM([12]A02!$F$21,[12]A02!$H$21,[12]A02!$J$21,[12]A02!$L$21,[12]A02!$N$21,[12]A02!$P$21,[12]A02!$R$21,[12]A02!$T$21,[12]A02!$V$21,[12]A02!$X$21)</f>
        <v>72</v>
      </c>
      <c r="J7" s="615">
        <f>SUM([13]A02!$F$21,[13]A02!$H$21,[13]A02!$J$21,[13]A02!$L$21,[13]A02!$N$21,[13]A02!$P$21,[13]A02!$R$21,[13]A02!$T$21,[13]A02!$V$21,[13]A02!$X$21)</f>
        <v>0</v>
      </c>
      <c r="K7" s="258"/>
      <c r="L7" s="258"/>
      <c r="M7" s="436"/>
      <c r="N7" s="436"/>
      <c r="O7" s="436"/>
      <c r="P7" s="436"/>
      <c r="Q7" s="264">
        <f t="shared" ref="Q7:Q12" si="0">SUM(E7:P7)</f>
        <v>279</v>
      </c>
      <c r="R7" s="745"/>
      <c r="S7" s="615">
        <f>SUM([8]A02!$E$21,[8]A02!$G$21,[8]A02!$I$21,[8]A02!$K$21,[8]A02!$M$21,[8]A02!$O$21,[8]A02!$Q$21,[8]A02!$S$21,[8]A02!$U$21,[8]A02!$W$21)</f>
        <v>26</v>
      </c>
      <c r="T7" s="615">
        <f>SUM([9]A02!$E$21,[9]A02!$G$21,[9]A02!$I$21,[9]A02!$K$21,[9]A02!$M$21,[9]A02!$O$21,[9]A02!$Q$21,[9]A02!$S$21,[9]A02!$U$21,[9]A02!$W$21)</f>
        <v>2</v>
      </c>
      <c r="U7" s="615">
        <f>SUM([10]A02!$E$21,[10]A02!$G$21,[10]A02!$I$21,[10]A02!$K$21,[10]A02!$M$21,[10]A02!$O$21,[10]A02!$Q$21,[10]A02!$S$21,[10]A02!$U$21,[10]A02!$W$21)</f>
        <v>10</v>
      </c>
      <c r="V7" s="615">
        <f>SUM([11]A02!$E$21,[11]A02!$G$21,[11]A02!$I$21,[11]A02!$K$21,[11]A02!$M$21,[11]A02!$O$21,[11]A02!$Q$21,[11]A02!$S$21,[11]A02!$U$21,[11]A02!$W$21)</f>
        <v>33</v>
      </c>
      <c r="W7" s="615">
        <f>SUM([12]A02!$E$21,[12]A02!$G$21,[12]A02!$I$21,[12]A02!$K$21,[12]A02!$M$21,[12]A02!$O$21,[12]A02!$Q$21,[12]A02!$S$21,[12]A02!$U$21,[12]A02!$W$21)</f>
        <v>19</v>
      </c>
      <c r="X7" s="615">
        <f>SUM([13]A02!$E$21,[13]A02!$G$21,[13]A02!$I$21,[13]A02!$K$21,[13]A02!$M$21,[13]A02!$O$21,[13]A02!$Q$21,[13]A02!$S$21,[13]A02!$U$21,[13]A02!$W$21)</f>
        <v>0</v>
      </c>
      <c r="Y7" s="258"/>
      <c r="Z7" s="258"/>
      <c r="AA7" s="436"/>
      <c r="AB7" s="436"/>
      <c r="AC7" s="436"/>
      <c r="AD7" s="436"/>
      <c r="AE7" s="264">
        <f t="shared" ref="AE7:AE12" si="1">SUM(S7:AD7)</f>
        <v>90</v>
      </c>
      <c r="AF7" s="745"/>
      <c r="AG7" s="745"/>
      <c r="AH7" s="745"/>
      <c r="AI7" s="258"/>
      <c r="AJ7" s="258"/>
      <c r="AK7" s="258"/>
      <c r="AL7" s="615">
        <f>SUM([8]A02!$Y$21:$AF$21)</f>
        <v>102</v>
      </c>
      <c r="AM7" s="615">
        <f>SUM([9]A02!$Y$21:$AF$21)</f>
        <v>47</v>
      </c>
      <c r="AN7" s="615">
        <f>SUM([10]A02!$Y$21:$AF$21)</f>
        <v>53</v>
      </c>
      <c r="AO7" s="615">
        <f>SUM([11]A02!$Y$21:$AF$21)</f>
        <v>111</v>
      </c>
      <c r="AP7" s="615">
        <f>SUM([12]A02!$Y$21:$AF$21)</f>
        <v>130</v>
      </c>
      <c r="AQ7" s="615">
        <f>SUM([13]A02!$Y$21:$AF$21)</f>
        <v>0</v>
      </c>
      <c r="AR7" s="258"/>
      <c r="AS7" s="258"/>
      <c r="AT7" s="436"/>
      <c r="AU7" s="436"/>
      <c r="AV7" s="436"/>
      <c r="AW7" s="436"/>
      <c r="AX7" s="264">
        <f t="shared" ref="AX7:AX12" si="2">SUM(AL7:AW7)</f>
        <v>443</v>
      </c>
      <c r="AY7" s="258"/>
      <c r="AZ7" s="615">
        <f>[8]A05!$C$13</f>
        <v>21</v>
      </c>
      <c r="BA7" s="615">
        <f>[9]A05!$C$13</f>
        <v>10</v>
      </c>
      <c r="BB7" s="615">
        <f>[10]A05!$C$13</f>
        <v>18</v>
      </c>
      <c r="BC7" s="615">
        <f>[11]A05!$C$13</f>
        <v>13</v>
      </c>
      <c r="BD7" s="615">
        <f>[12]A05!$C$13</f>
        <v>9</v>
      </c>
      <c r="BE7" s="615">
        <f>[13]A05!$C$13</f>
        <v>0</v>
      </c>
      <c r="BF7" s="258"/>
      <c r="BG7" s="258"/>
      <c r="BH7" s="436"/>
      <c r="BI7" s="436"/>
      <c r="BJ7" s="436"/>
      <c r="BK7" s="436"/>
      <c r="BL7" s="264">
        <f t="shared" ref="BL7:BL12" si="3">SUM(AZ7:BK7)</f>
        <v>71</v>
      </c>
      <c r="BM7" s="258"/>
      <c r="BN7" s="615">
        <f>[8]A05!$C$11</f>
        <v>21</v>
      </c>
      <c r="BO7" s="615">
        <f>[9]A05!$C$11</f>
        <v>12</v>
      </c>
      <c r="BP7" s="615">
        <f>[10]A05!$C$11</f>
        <v>18</v>
      </c>
      <c r="BQ7" s="615">
        <f>[11]A05!$C$11</f>
        <v>15</v>
      </c>
      <c r="BR7" s="615">
        <f>[12]A05!$C$11</f>
        <v>13</v>
      </c>
      <c r="BS7" s="615">
        <f>[13]A05!$C$11</f>
        <v>0</v>
      </c>
      <c r="BT7" s="258"/>
      <c r="BU7" s="258"/>
      <c r="BV7" s="436"/>
      <c r="BW7" s="436"/>
      <c r="BX7" s="436"/>
      <c r="BY7" s="436"/>
      <c r="BZ7" s="264">
        <f t="shared" ref="BZ7:BZ12" si="4">SUM(BN7:BY7)</f>
        <v>79</v>
      </c>
      <c r="CB7" s="615">
        <f>SUM([8]A03!$J$21:$M$24)</f>
        <v>11</v>
      </c>
      <c r="CC7" s="615">
        <f>SUM([9]A03!$J$21:$M$24)</f>
        <v>4</v>
      </c>
      <c r="CD7" s="615">
        <f>SUM([10]A03!$J$21:$M$24)</f>
        <v>20</v>
      </c>
      <c r="CE7" s="615">
        <f>SUM([11]A03!$J$21:$M$24)</f>
        <v>21</v>
      </c>
      <c r="CF7" s="615">
        <f>SUM([12]A03!$J$21:$M$24)</f>
        <v>18</v>
      </c>
      <c r="CG7" s="615">
        <f>SUM([13]A03!$J$21:$M$24)</f>
        <v>0</v>
      </c>
      <c r="CH7" s="258"/>
      <c r="CI7" s="258"/>
      <c r="CJ7" s="436"/>
      <c r="CK7" s="436"/>
      <c r="CL7" s="436"/>
      <c r="CM7" s="436"/>
      <c r="CN7" s="264">
        <f t="shared" ref="CN7:CN12" si="5">SUM(CB7:CM7)</f>
        <v>74</v>
      </c>
      <c r="CO7" s="258"/>
      <c r="CP7" s="615">
        <f>SUM([8]A26!$C$10:$C$35,[8]A26!$C$40:$E$41,[8]A33!$B$44)</f>
        <v>49</v>
      </c>
      <c r="CQ7" s="615">
        <f>SUM([9]A26!$C$10:$C$35,[9]A26!$C$40:$E$41,[9]A33!$B$44)</f>
        <v>30</v>
      </c>
      <c r="CR7" s="615">
        <f>SUM([10]A26!$C$10:$C$35,[10]A26!$C$40:$E$41,[10]A33!$B$44)</f>
        <v>44</v>
      </c>
      <c r="CS7" s="615">
        <f>SUM([11]A26!$C$10:$C$35,[11]A26!$C$40:$E$41,[11]A33!$B$44)</f>
        <v>35</v>
      </c>
      <c r="CT7" s="615">
        <f>SUM([12]A26!$C$10:$C$35,[12]A26!$C$40:$E$41,[12]A33!$B$44)</f>
        <v>34</v>
      </c>
      <c r="CU7" s="615">
        <f>SUM([13]A26!$C$10:$C$35,[13]A26!$C$40:$E$41,[13]A33!$B$44)</f>
        <v>0</v>
      </c>
      <c r="CV7" s="258"/>
      <c r="CW7" s="258"/>
      <c r="CX7" s="436"/>
      <c r="CY7" s="436"/>
      <c r="CZ7" s="436"/>
      <c r="DA7" s="436"/>
      <c r="DB7" s="264">
        <f t="shared" ref="DB7:DB12" si="6">SUM(CP7:DA7)</f>
        <v>192</v>
      </c>
      <c r="DC7" s="615">
        <f>SUM([8]A01!$C$74,[8]A01!$F$74,[8]A32!$B$186:$B$187,[8]A32!$E$186:$E$187)</f>
        <v>0</v>
      </c>
      <c r="DD7" s="615">
        <f>SUM([9]A01!$C$74,[9]A01!$F$74,[9]A32!$B$186:$B$187,[9]A32!$E$186:$E$187)</f>
        <v>44</v>
      </c>
      <c r="DE7" s="615">
        <f>SUM([10]A01!$C$74,[10]A01!$F$74,[10]A32!$B$186:$B$187,[10]A32!$E$186:$E$187)</f>
        <v>25</v>
      </c>
      <c r="DF7" s="615">
        <f>SUM([11]A01!$C$74,[11]A01!$F$74,[11]A32!$B$186:$B$187,[11]A32!$E$186:$E$187)</f>
        <v>54</v>
      </c>
      <c r="DG7" s="615">
        <f>SUM([12]A01!$C$74,[12]A01!$F$74,[12]A32!$B$186:$B$187,[12]A32!$E$186:$E$187)</f>
        <v>38</v>
      </c>
      <c r="DH7" s="615">
        <f>SUM([13]A01!$C$74,[13]A01!$F$74,[13]A32!$B$186:$B$187,[13]A32!$E$186:$E$187)</f>
        <v>0</v>
      </c>
      <c r="DI7" s="258"/>
      <c r="DJ7" s="258"/>
      <c r="DK7" s="436"/>
      <c r="DL7" s="436"/>
      <c r="DM7" s="436"/>
      <c r="DN7" s="436"/>
      <c r="DO7" s="264">
        <f t="shared" ref="DO7:DO12" si="7">SUM(DC7:DN7)</f>
        <v>161</v>
      </c>
      <c r="DP7" s="258"/>
    </row>
    <row r="8" spans="2:214" s="260" customFormat="1" ht="12" x14ac:dyDescent="0.2">
      <c r="B8" s="265">
        <v>107353</v>
      </c>
      <c r="C8" s="151" t="s">
        <v>97</v>
      </c>
      <c r="E8" s="615">
        <f>SUM([14]A02!$F$21,[14]A02!$H$21,[14]A02!$J$21,[14]A02!$L$21,[14]A02!$N$21,[14]A02!$P$21,[14]A02!$R$21,[14]A02!$T$21,[14]A02!$V$21,[14]A02!$X$21)</f>
        <v>53</v>
      </c>
      <c r="F8" s="615">
        <f>SUM([15]A02!$F$21,[15]A02!$H$21,[15]A02!$J$21,[15]A02!$L$21,[15]A02!$N$21,[15]A02!$P$21,[15]A02!$R$21,[15]A02!$T$21,[15]A02!$V$21,[15]A02!$X$21)</f>
        <v>50</v>
      </c>
      <c r="G8" s="615">
        <f>SUM([16]A02!$F$21,[16]A02!$H$21,[16]A02!$J$21,[16]A02!$L$21,[16]A02!$N$21,[16]A02!$P$21,[16]A02!$R$21,[16]A02!$T$21,[16]A02!$V$21,[16]A02!$X$21)</f>
        <v>57</v>
      </c>
      <c r="H8" s="615">
        <f>SUM([17]A02!$F$21,[17]A02!$H$21,[17]A02!$J$21,[17]A02!$L$21,[17]A02!$N$21,[17]A02!$P$21,[17]A02!$R$21,[17]A02!$T$21,[17]A02!$V$21,[17]A02!$X$21)</f>
        <v>51</v>
      </c>
      <c r="I8" s="615">
        <f>SUM([18]A02!$F$21,[18]A02!$H$21,[18]A02!$J$21,[18]A02!$L$21,[18]A02!$N$21,[18]A02!$P$21,[18]A02!$R$21,[18]A02!$T$21,[18]A02!$V$21,[18]A02!$X$21)</f>
        <v>102</v>
      </c>
      <c r="J8" s="615">
        <f>SUM([19]A02!$F$21,[19]A02!$H$21,[19]A02!$J$21,[19]A02!$L$21,[19]A02!$N$21,[19]A02!$P$21,[19]A02!$R$21,[19]A02!$T$21,[19]A02!$V$21,[19]A02!$X$21)</f>
        <v>0</v>
      </c>
      <c r="K8" s="258"/>
      <c r="L8" s="258"/>
      <c r="M8" s="436"/>
      <c r="N8" s="436"/>
      <c r="O8" s="436"/>
      <c r="P8" s="436"/>
      <c r="Q8" s="264">
        <f t="shared" si="0"/>
        <v>313</v>
      </c>
      <c r="R8" s="745"/>
      <c r="S8" s="615">
        <f>SUM([14]A02!$E$21,[14]A02!$G$21,[14]A02!$I$21,[14]A02!$K$21,[14]A02!$M$21,[14]A02!$O$21,[14]A02!$Q$21,[14]A02!$S$21,[14]A02!$U$21,[14]A02!$W$21)</f>
        <v>22</v>
      </c>
      <c r="T8" s="615">
        <f>SUM([15]A02!$E$21,[15]A02!$G$21,[15]A02!$I$21,[15]A02!$K$21,[15]A02!$M$21,[15]A02!$O$21,[15]A02!$Q$21,[15]A02!$S$21,[15]A02!$U$21,[15]A02!$W$21)</f>
        <v>17</v>
      </c>
      <c r="U8" s="615">
        <f>SUM([16]A02!$E$21,[16]A02!$G$21,[16]A02!$I$21,[16]A02!$K$21,[16]A02!$M$21,[16]A02!$O$21,[16]A02!$Q$21,[16]A02!$S$21,[16]A02!$U$21,[16]A02!$W$21)</f>
        <v>13</v>
      </c>
      <c r="V8" s="615">
        <f>SUM([17]A02!$E$21,[17]A02!$G$21,[17]A02!$I$21,[17]A02!$K$21,[17]A02!$M$21,[17]A02!$O$21,[17]A02!$Q$21,[17]A02!$S$21,[17]A02!$U$21,[17]A02!$W$21)</f>
        <v>21</v>
      </c>
      <c r="W8" s="615">
        <f>SUM([18]A02!$E$21,[18]A02!$G$21,[18]A02!$I$21,[18]A02!$K$21,[18]A02!$M$21,[18]A02!$O$21,[18]A02!$Q$21,[18]A02!$S$21,[18]A02!$U$21,[18]A02!$W$21)</f>
        <v>39</v>
      </c>
      <c r="X8" s="615">
        <f>SUM([19]A02!$E$21,[19]A02!$G$21,[19]A02!$I$21,[19]A02!$K$21,[19]A02!$M$21,[19]A02!$O$21,[19]A02!$Q$21,[19]A02!$S$21,[19]A02!$U$21,[19]A02!$W$21)</f>
        <v>0</v>
      </c>
      <c r="Y8" s="258"/>
      <c r="Z8" s="258"/>
      <c r="AA8" s="436"/>
      <c r="AB8" s="436"/>
      <c r="AC8" s="436"/>
      <c r="AD8" s="436"/>
      <c r="AE8" s="264">
        <f t="shared" si="1"/>
        <v>112</v>
      </c>
      <c r="AF8" s="745"/>
      <c r="AG8" s="745"/>
      <c r="AH8" s="745"/>
      <c r="AI8" s="258"/>
      <c r="AJ8" s="258"/>
      <c r="AK8" s="258"/>
      <c r="AL8" s="615">
        <f>SUM([14]A02!$Y$21:$AF$21)</f>
        <v>72</v>
      </c>
      <c r="AM8" s="615">
        <f>SUM([15]A02!$Y$21:$AF$21)</f>
        <v>47</v>
      </c>
      <c r="AN8" s="615">
        <f>SUM([16]A02!$Y$21:$AF$21)</f>
        <v>55</v>
      </c>
      <c r="AO8" s="615">
        <f>SUM([17]A02!$Y$21:$AF$21)</f>
        <v>67</v>
      </c>
      <c r="AP8" s="615">
        <f>SUM([18]A02!$Y$21:$AF$21)</f>
        <v>87</v>
      </c>
      <c r="AQ8" s="615">
        <f>SUM([19]A02!$Y$21:$AF$21)</f>
        <v>0</v>
      </c>
      <c r="AR8" s="258"/>
      <c r="AS8" s="258"/>
      <c r="AT8" s="436"/>
      <c r="AU8" s="436"/>
      <c r="AV8" s="436"/>
      <c r="AW8" s="436"/>
      <c r="AX8" s="264">
        <f t="shared" si="2"/>
        <v>328</v>
      </c>
      <c r="AY8" s="258"/>
      <c r="AZ8" s="615">
        <f>[14]A05!$C$13</f>
        <v>21</v>
      </c>
      <c r="BA8" s="615">
        <f>[15]A05!$C$13</f>
        <v>13</v>
      </c>
      <c r="BB8" s="615">
        <f>[16]A05!$C$13</f>
        <v>16</v>
      </c>
      <c r="BC8" s="615">
        <f>[17]A05!$C$13</f>
        <v>7</v>
      </c>
      <c r="BD8" s="615">
        <f>[18]A05!$C$13</f>
        <v>9</v>
      </c>
      <c r="BE8" s="615">
        <f>[19]A05!$C$13</f>
        <v>0</v>
      </c>
      <c r="BF8" s="258"/>
      <c r="BG8" s="258"/>
      <c r="BH8" s="436"/>
      <c r="BI8" s="436"/>
      <c r="BJ8" s="436"/>
      <c r="BK8" s="436"/>
      <c r="BL8" s="264">
        <f t="shared" si="3"/>
        <v>66</v>
      </c>
      <c r="BM8" s="258"/>
      <c r="BN8" s="615">
        <f>[14]A05!$C$11</f>
        <v>22</v>
      </c>
      <c r="BO8" s="615">
        <f>[15]A05!$C$11</f>
        <v>16</v>
      </c>
      <c r="BP8" s="615">
        <f>[16]A05!$C$11</f>
        <v>20</v>
      </c>
      <c r="BQ8" s="615">
        <f>[17]A05!$C$11</f>
        <v>11</v>
      </c>
      <c r="BR8" s="615">
        <f>[18]A05!$C$11</f>
        <v>9</v>
      </c>
      <c r="BS8" s="615">
        <f>[19]A05!$C$11</f>
        <v>0</v>
      </c>
      <c r="BT8" s="258"/>
      <c r="BU8" s="258"/>
      <c r="BV8" s="436"/>
      <c r="BW8" s="436"/>
      <c r="BX8" s="436"/>
      <c r="BY8" s="436"/>
      <c r="BZ8" s="264">
        <f t="shared" si="4"/>
        <v>78</v>
      </c>
      <c r="CB8" s="615">
        <f>SUM([14]A03!$J$21:$M$24)</f>
        <v>16</v>
      </c>
      <c r="CC8" s="615">
        <f>SUM([15]A03!$J$21:$M$24)</f>
        <v>7</v>
      </c>
      <c r="CD8" s="615">
        <f>SUM([16]A03!$J$21:$M$24)</f>
        <v>16</v>
      </c>
      <c r="CE8" s="615">
        <f>SUM([17]A03!$J$21:$M$24)</f>
        <v>12</v>
      </c>
      <c r="CF8" s="615">
        <f>SUM([18]A03!$J$21:$M$24)</f>
        <v>7</v>
      </c>
      <c r="CG8" s="615">
        <f>SUM([19]A03!$J$21:$M$24)</f>
        <v>0</v>
      </c>
      <c r="CH8" s="258"/>
      <c r="CI8" s="258"/>
      <c r="CJ8" s="436"/>
      <c r="CK8" s="436"/>
      <c r="CL8" s="436"/>
      <c r="CM8" s="436"/>
      <c r="CN8" s="264">
        <f t="shared" si="5"/>
        <v>58</v>
      </c>
      <c r="CO8" s="258"/>
      <c r="CP8" s="615">
        <f>SUM([14]A26!$C$10:$C$35,[14]A26!$C$40:$E$41,[14]A33!$B$44)</f>
        <v>58</v>
      </c>
      <c r="CQ8" s="615">
        <f>SUM([15]A26!$C$10:$C$35,[15]A26!$C$40:$E$41,[15]A33!$B$44)</f>
        <v>16</v>
      </c>
      <c r="CR8" s="615">
        <f>SUM([16]A26!$C$10:$C$35,[16]A26!$C$40:$E$41,[16]A33!$B$44)</f>
        <v>30</v>
      </c>
      <c r="CS8" s="615">
        <f>SUM([17]A26!$C$10:$C$35,[17]A26!$C$40:$E$41,[17]A33!$B$44)</f>
        <v>43</v>
      </c>
      <c r="CT8" s="615">
        <f>SUM([18]A26!$C$10:$C$35,[18]A26!$C$40:$E$41,[18]A33!$B$44)</f>
        <v>37</v>
      </c>
      <c r="CU8" s="615">
        <f>SUM([19]A26!$C$10:$C$35,[19]A26!$C$40:$E$41,[19]A33!$B$44)</f>
        <v>0</v>
      </c>
      <c r="CV8" s="258"/>
      <c r="CW8" s="258"/>
      <c r="CX8" s="436"/>
      <c r="CY8" s="436"/>
      <c r="CZ8" s="436"/>
      <c r="DA8" s="436"/>
      <c r="DB8" s="264">
        <f t="shared" si="6"/>
        <v>184</v>
      </c>
      <c r="DC8" s="615">
        <f>SUM([14]A01!$C$74,[14]A01!$F$74,[14]A32!$B$186:$B$187,[14]A32!$E$186:$E$187)</f>
        <v>40</v>
      </c>
      <c r="DD8" s="615">
        <f>SUM([15]A01!$C$74,[15]A01!$F$74,[15]A32!$B$186:$B$187,[15]A32!$E$186:$E$187)</f>
        <v>24</v>
      </c>
      <c r="DE8" s="615">
        <f>SUM([16]A01!$C$74,[16]A01!$F$74,[16]A32!$B$186:$B$187,[16]A32!$E$186:$E$187)</f>
        <v>4</v>
      </c>
      <c r="DF8" s="615">
        <f>SUM([17]A01!$C$74,[17]A01!$F$74,[17]A32!$B$186:$B$187,[17]A32!$E$186:$E$187)</f>
        <v>15</v>
      </c>
      <c r="DG8" s="615">
        <f>SUM([18]A01!$C$74,[18]A01!$F$74,[18]A32!$B$186:$B$187,[18]A32!$E$186:$E$187)</f>
        <v>19</v>
      </c>
      <c r="DH8" s="615">
        <f>SUM([19]A01!$C$74,[19]A01!$F$74,[19]A32!$B$186:$B$187,[19]A32!$E$186:$E$187)</f>
        <v>0</v>
      </c>
      <c r="DI8" s="258"/>
      <c r="DJ8" s="258"/>
      <c r="DK8" s="436"/>
      <c r="DL8" s="436"/>
      <c r="DM8" s="436"/>
      <c r="DN8" s="436"/>
      <c r="DO8" s="264">
        <f t="shared" si="7"/>
        <v>102</v>
      </c>
      <c r="DP8" s="258"/>
    </row>
    <row r="9" spans="2:214" s="260" customFormat="1" ht="12" x14ac:dyDescent="0.2">
      <c r="B9" s="265">
        <v>107356</v>
      </c>
      <c r="C9" s="151" t="s">
        <v>98</v>
      </c>
      <c r="E9" s="615">
        <f>SUM([20]A02!$F$21,[20]A02!$H$21,[20]A02!$J$21,[20]A02!$L$21,[20]A02!$N$21,[20]A02!$P$21,[20]A02!$R$21,[20]A02!$T$21,[20]A02!$V$21,[20]A02!$X$21)</f>
        <v>129</v>
      </c>
      <c r="F9" s="615">
        <f>SUM([21]A02!$F$21,[21]A02!$H$21,[21]A02!$J$21,[21]A02!$L$21,[21]A02!$N$21,[21]A02!$P$21,[21]A02!$R$21,[21]A02!$T$21,[21]A02!$V$21,[21]A02!$X$21)</f>
        <v>67</v>
      </c>
      <c r="G9" s="615">
        <f>SUM([22]A02!$F$21,[22]A02!$H$21,[22]A02!$J$21,[22]A02!$L$21,[22]A02!$N$21,[22]A02!$P$21,[22]A02!$R$21,[22]A02!$T$21,[22]A02!$V$21,[22]A02!$X$21)</f>
        <v>41</v>
      </c>
      <c r="H9" s="615">
        <f>SUM([23]A02!$F$21,[23]A02!$H$21,[23]A02!$J$21,[23]A02!$L$21,[23]A02!$N$21,[23]A02!$P$21,[23]A02!$R$21,[23]A02!$T$21,[23]A02!$V$21,[23]A02!$X$21)</f>
        <v>38</v>
      </c>
      <c r="I9" s="615">
        <f>SUM([24]A02!$F$21,[24]A02!$H$21,[24]A02!$J$21,[24]A02!$L$21,[24]A02!$N$21,[24]A02!$P$21,[24]A02!$R$21,[24]A02!$T$21,[24]A02!$V$21,[24]A02!$X$21)</f>
        <v>34</v>
      </c>
      <c r="J9" s="615">
        <f>SUM([25]A02!$F$21,[25]A02!$H$21,[25]A02!$J$21,[25]A02!$L$21,[25]A02!$N$21,[25]A02!$P$21,[25]A02!$R$21,[25]A02!$T$21,[25]A02!$V$21,[25]A02!$X$21)</f>
        <v>0</v>
      </c>
      <c r="K9" s="258"/>
      <c r="L9" s="258"/>
      <c r="M9" s="436"/>
      <c r="N9" s="436"/>
      <c r="O9" s="436"/>
      <c r="P9" s="436"/>
      <c r="Q9" s="264">
        <f t="shared" si="0"/>
        <v>309</v>
      </c>
      <c r="R9" s="745"/>
      <c r="S9" s="615">
        <f>SUM([20]A02!$E$21,[20]A02!$G$21,[20]A02!$I$21,[20]A02!$K$21,[20]A02!$M$21,[20]A02!$O$21,[20]A02!$Q$21,[20]A02!$S$21,[20]A02!$U$21,[20]A02!$W$21)</f>
        <v>58</v>
      </c>
      <c r="T9" s="615">
        <f>SUM([21]A02!$E$21,[21]A02!$G$21,[21]A02!$I$21,[21]A02!$K$21,[21]A02!$M$21,[21]A02!$O$21,[21]A02!$Q$21,[21]A02!$S$21,[21]A02!$U$21,[21]A02!$W$21)</f>
        <v>28</v>
      </c>
      <c r="U9" s="615">
        <f>SUM([22]A02!$E$21,[22]A02!$G$21,[22]A02!$I$21,[22]A02!$K$21,[22]A02!$M$21,[22]A02!$O$21,[22]A02!$Q$21,[22]A02!$S$21,[22]A02!$U$21,[22]A02!$W$21)</f>
        <v>6</v>
      </c>
      <c r="V9" s="615">
        <f>SUM([23]A02!$E$21,[23]A02!$G$21,[23]A02!$I$21,[23]A02!$K$21,[23]A02!$M$21,[23]A02!$O$21,[23]A02!$Q$21,[23]A02!$S$21,[23]A02!$U$21,[23]A02!$W$21)</f>
        <v>12</v>
      </c>
      <c r="W9" s="615">
        <f>SUM([24]A02!$E$21,[24]A02!$G$21,[24]A02!$I$21,[24]A02!$K$21,[24]A02!$M$21,[24]A02!$O$21,[24]A02!$Q$21,[24]A02!$S$21,[24]A02!$U$21,[24]A02!$W$21)</f>
        <v>9</v>
      </c>
      <c r="X9" s="615">
        <f>SUM([25]A02!$E$21,[25]A02!$G$21,[25]A02!$I$21,[25]A02!$K$21,[25]A02!$M$21,[25]A02!$O$21,[25]A02!$Q$21,[25]A02!$S$21,[25]A02!$U$21,[25]A02!$W$21)</f>
        <v>0</v>
      </c>
      <c r="Y9" s="258"/>
      <c r="Z9" s="258"/>
      <c r="AA9" s="436"/>
      <c r="AB9" s="436"/>
      <c r="AC9" s="436"/>
      <c r="AD9" s="436"/>
      <c r="AE9" s="264">
        <f t="shared" si="1"/>
        <v>113</v>
      </c>
      <c r="AF9" s="745"/>
      <c r="AG9" s="745"/>
      <c r="AH9" s="745"/>
      <c r="AI9" s="258"/>
      <c r="AJ9" s="258"/>
      <c r="AK9" s="258"/>
      <c r="AL9" s="615">
        <f>SUM([20]A02!$Y$21:$AF$21)</f>
        <v>126</v>
      </c>
      <c r="AM9" s="615">
        <f>SUM([21]A02!$Y$21:$AF$21)</f>
        <v>52</v>
      </c>
      <c r="AN9" s="615">
        <f>SUM([22]A02!$Y$21:$AF$21)</f>
        <v>82</v>
      </c>
      <c r="AO9" s="615">
        <f>SUM([23]A02!$Y$21:$AF$21)</f>
        <v>89</v>
      </c>
      <c r="AP9" s="615">
        <f>SUM([24]A02!$Y$21:$AF$21)</f>
        <v>96</v>
      </c>
      <c r="AQ9" s="615">
        <f>SUM([25]A02!$Y$21:$AF$21)</f>
        <v>0</v>
      </c>
      <c r="AR9" s="258"/>
      <c r="AS9" s="258"/>
      <c r="AT9" s="436"/>
      <c r="AU9" s="436"/>
      <c r="AV9" s="436"/>
      <c r="AW9" s="436"/>
      <c r="AX9" s="264">
        <f t="shared" si="2"/>
        <v>445</v>
      </c>
      <c r="AY9" s="258"/>
      <c r="AZ9" s="615">
        <f>[20]A05!$C$13</f>
        <v>19</v>
      </c>
      <c r="BA9" s="615">
        <f>[21]A05!$C$13</f>
        <v>11</v>
      </c>
      <c r="BB9" s="615">
        <f>[22]A05!$C$13</f>
        <v>11</v>
      </c>
      <c r="BC9" s="615">
        <f>[23]A05!$C$13</f>
        <v>16</v>
      </c>
      <c r="BD9" s="615">
        <f>[24]A05!$C$13</f>
        <v>9</v>
      </c>
      <c r="BE9" s="615">
        <f>[25]A05!$C$13</f>
        <v>0</v>
      </c>
      <c r="BF9" s="258"/>
      <c r="BG9" s="258"/>
      <c r="BH9" s="436"/>
      <c r="BI9" s="436"/>
      <c r="BJ9" s="436"/>
      <c r="BK9" s="436"/>
      <c r="BL9" s="264">
        <f t="shared" si="3"/>
        <v>66</v>
      </c>
      <c r="BM9" s="258"/>
      <c r="BN9" s="615">
        <f>[20]A05!$C$11</f>
        <v>24</v>
      </c>
      <c r="BO9" s="615">
        <f>[21]A05!$C$11</f>
        <v>11</v>
      </c>
      <c r="BP9" s="615">
        <f>[22]A05!$C$11</f>
        <v>14</v>
      </c>
      <c r="BQ9" s="615">
        <f>[23]A05!$C$11</f>
        <v>16</v>
      </c>
      <c r="BR9" s="615">
        <f>[24]A05!$C$11</f>
        <v>9</v>
      </c>
      <c r="BS9" s="615">
        <f>[25]A05!$C$11</f>
        <v>0</v>
      </c>
      <c r="BT9" s="258"/>
      <c r="BU9" s="258"/>
      <c r="BV9" s="436"/>
      <c r="BW9" s="436"/>
      <c r="BX9" s="436"/>
      <c r="BY9" s="436"/>
      <c r="BZ9" s="264">
        <f t="shared" si="4"/>
        <v>74</v>
      </c>
      <c r="CB9" s="615">
        <f>SUM([20]A03!$J$21:$M$24)</f>
        <v>6</v>
      </c>
      <c r="CC9" s="615">
        <f>SUM([21]A03!$J$21:$M$24)</f>
        <v>7</v>
      </c>
      <c r="CD9" s="615">
        <f>SUM([22]A03!$J$21:$M$24)</f>
        <v>19</v>
      </c>
      <c r="CE9" s="615">
        <f>SUM([23]A03!$J$21:$M$24)</f>
        <v>17</v>
      </c>
      <c r="CF9" s="615">
        <f>SUM([24]A03!$J$21:$M$24)</f>
        <v>9</v>
      </c>
      <c r="CG9" s="615">
        <f>SUM([25]A03!$J$21:$M$24)</f>
        <v>0</v>
      </c>
      <c r="CH9" s="258"/>
      <c r="CI9" s="258"/>
      <c r="CJ9" s="436"/>
      <c r="CK9" s="436"/>
      <c r="CL9" s="436"/>
      <c r="CM9" s="436"/>
      <c r="CN9" s="264">
        <f t="shared" si="5"/>
        <v>58</v>
      </c>
      <c r="CO9" s="258"/>
      <c r="CP9" s="615">
        <f>SUM([20]A26!$C$10:$C$35,[20]A26!$C$40:$E$41,[20]A33!$B$44)</f>
        <v>45</v>
      </c>
      <c r="CQ9" s="615">
        <f>SUM([21]A26!$C$10:$C$35,[21]A26!$C$40:$E$41,[21]A33!$B$44)</f>
        <v>44</v>
      </c>
      <c r="CR9" s="615">
        <f>SUM([22]A26!$C$10:$C$35,[22]A26!$C$40:$E$41,[22]A33!$B$44)</f>
        <v>36</v>
      </c>
      <c r="CS9" s="615">
        <f>SUM([23]A26!$C$10:$C$35,[23]A26!$C$40:$E$41,[23]A33!$B$44)</f>
        <v>55</v>
      </c>
      <c r="CT9" s="615">
        <f>SUM([24]A26!$C$10:$C$35,[24]A26!$C$40:$E$41,[24]A33!$B$44)</f>
        <v>60</v>
      </c>
      <c r="CU9" s="615">
        <f>SUM([25]A26!$C$10:$C$35,[25]A26!$C$40:$E$41,[25]A33!$B$44)</f>
        <v>0</v>
      </c>
      <c r="CV9" s="258"/>
      <c r="CW9" s="258"/>
      <c r="CX9" s="436"/>
      <c r="CY9" s="436"/>
      <c r="CZ9" s="436"/>
      <c r="DA9" s="436"/>
      <c r="DB9" s="264">
        <f t="shared" si="6"/>
        <v>240</v>
      </c>
      <c r="DC9" s="615">
        <f>SUM([20]A01!$C$74,[20]A01!$F$74,[20]A32!$B$186:$B$187,[20]A32!$E$186:$E$187)</f>
        <v>29</v>
      </c>
      <c r="DD9" s="615">
        <f>SUM([21]A01!$C$74,[21]A01!$F$74,[21]A32!$B$186:$B$187,[21]A32!$E$186:$E$187)</f>
        <v>26</v>
      </c>
      <c r="DE9" s="615">
        <f>SUM([22]A01!$C$74,[22]A01!$F$74,[22]A32!$B$186:$B$187,[22]A32!$E$186:$E$187)</f>
        <v>15</v>
      </c>
      <c r="DF9" s="615">
        <f>SUM([23]A01!$C$74,[23]A01!$F$74,[23]A32!$B$186:$B$187,[23]A32!$E$186:$E$187)</f>
        <v>42</v>
      </c>
      <c r="DG9" s="615">
        <f>SUM([24]A01!$C$74,[24]A01!$F$74,[24]A32!$B$186:$B$187,[24]A32!$E$186:$E$187)</f>
        <v>56</v>
      </c>
      <c r="DH9" s="615">
        <f>SUM([25]A01!$C$74,[25]A01!$F$74,[25]A32!$B$186:$B$187,[25]A32!$E$186:$E$187)</f>
        <v>0</v>
      </c>
      <c r="DI9" s="258"/>
      <c r="DJ9" s="258"/>
      <c r="DK9" s="436"/>
      <c r="DL9" s="436"/>
      <c r="DM9" s="436"/>
      <c r="DN9" s="436"/>
      <c r="DO9" s="264">
        <f t="shared" si="7"/>
        <v>168</v>
      </c>
      <c r="DP9" s="258"/>
    </row>
    <row r="10" spans="2:214" s="260" customFormat="1" ht="12" x14ac:dyDescent="0.2">
      <c r="B10" s="265">
        <v>107357</v>
      </c>
      <c r="C10" s="151" t="s">
        <v>99</v>
      </c>
      <c r="E10" s="615">
        <f>SUM([26]A02!$F$21,[26]A02!$H$21,[26]A02!$J$21,[26]A02!$L$21,[26]A02!$N$21,[26]A02!$P$21,[26]A02!$R$21,[26]A02!$T$21,[26]A02!$V$21,[26]A02!$X$21)</f>
        <v>68</v>
      </c>
      <c r="F10" s="615">
        <f>SUM([27]A02!$F$21,[27]A02!$H$21,[27]A02!$J$21,[27]A02!$L$21,[27]A02!$N$21,[27]A02!$P$21,[27]A02!$R$21,[27]A02!$T$21,[27]A02!$V$21,[27]A02!$X$21)</f>
        <v>7</v>
      </c>
      <c r="G10" s="615">
        <f>SUM([28]A02!$F$21,[28]A02!$H$21,[28]A02!$J$21,[28]A02!$L$21,[28]A02!$N$21,[28]A02!$P$21,[28]A02!$R$21,[28]A02!$T$21,[28]A02!$V$21,[28]A02!$X$21)</f>
        <v>88</v>
      </c>
      <c r="H10" s="615">
        <f>SUM([29]A02!$F$21,[29]A02!$H$21,[29]A02!$J$21,[29]A02!$L$21,[29]A02!$N$21,[29]A02!$P$21,[29]A02!$R$21,[29]A02!$T$21,[29]A02!$V$21,[29]A02!$X$21)</f>
        <v>141</v>
      </c>
      <c r="I10" s="615">
        <f>SUM([30]A02!$F$21,[30]A02!$H$21,[30]A02!$J$21,[30]A02!$L$21,[30]A02!$N$21,[30]A02!$P$21,[30]A02!$R$21,[30]A02!$T$21,[30]A02!$V$21,[30]A02!$X$21)</f>
        <v>82</v>
      </c>
      <c r="J10" s="615">
        <f>SUM([31]A02!$F$21,[31]A02!$H$21,[31]A02!$J$21,[31]A02!$L$21,[31]A02!$N$21,[31]A02!$P$21,[31]A02!$R$21,[31]A02!$T$21,[31]A02!$V$21,[31]A02!$X$21)</f>
        <v>0</v>
      </c>
      <c r="K10" s="258"/>
      <c r="L10" s="258"/>
      <c r="M10" s="436"/>
      <c r="N10" s="436"/>
      <c r="O10" s="436"/>
      <c r="P10" s="436"/>
      <c r="Q10" s="264">
        <f t="shared" si="0"/>
        <v>386</v>
      </c>
      <c r="R10" s="745"/>
      <c r="S10" s="615">
        <f>SUM([26]A02!$E$21,[26]A02!$G$21,[26]A02!$I$21,[26]A02!$K$21,[26]A02!$M$21,[26]A02!$O$21,[26]A02!$Q$21,[26]A02!$S$21,[26]A02!$U$21,[26]A02!$W$21)</f>
        <v>27</v>
      </c>
      <c r="T10" s="615">
        <f>SUM([27]A02!$E$21,[27]A02!$G$21,[27]A02!$I$21,[27]A02!$K$21,[27]A02!$M$21,[27]A02!$O$21,[27]A02!$Q$21,[27]A02!$S$21,[27]A02!$U$21,[27]A02!$W$21)</f>
        <v>3</v>
      </c>
      <c r="U10" s="615">
        <f>SUM([28]A02!$E$21,[28]A02!$G$21,[28]A02!$I$21,[28]A02!$K$21,[28]A02!$M$21,[28]A02!$O$21,[28]A02!$Q$21,[28]A02!$S$21,[28]A02!$U$21,[28]A02!$W$21)</f>
        <v>15</v>
      </c>
      <c r="V10" s="615">
        <f>SUM([29]A02!$E$21,[29]A02!$G$21,[29]A02!$I$21,[29]A02!$K$21,[29]A02!$M$21,[29]A02!$O$21,[29]A02!$Q$21,[29]A02!$S$21,[29]A02!$U$21,[29]A02!$W$21)</f>
        <v>64</v>
      </c>
      <c r="W10" s="615">
        <f>SUM([30]A02!$E$21,[30]A02!$G$21,[30]A02!$I$21,[30]A02!$K$21,[30]A02!$M$21,[30]A02!$O$21,[30]A02!$Q$21,[30]A02!$S$21,[30]A02!$U$21,[30]A02!$W$21)</f>
        <v>41</v>
      </c>
      <c r="X10" s="615">
        <f>SUM([31]A02!$E$21,[31]A02!$G$21,[31]A02!$I$21,[31]A02!$K$21,[31]A02!$M$21,[31]A02!$O$21,[31]A02!$Q$21,[31]A02!$S$21,[31]A02!$U$21,[31]A02!$W$21)</f>
        <v>0</v>
      </c>
      <c r="Y10" s="258"/>
      <c r="Z10" s="258"/>
      <c r="AA10" s="436"/>
      <c r="AB10" s="436"/>
      <c r="AC10" s="436"/>
      <c r="AD10" s="436"/>
      <c r="AE10" s="264">
        <f t="shared" si="1"/>
        <v>150</v>
      </c>
      <c r="AF10" s="745"/>
      <c r="AG10" s="745"/>
      <c r="AH10" s="745"/>
      <c r="AI10" s="258"/>
      <c r="AJ10" s="258"/>
      <c r="AK10" s="258"/>
      <c r="AL10" s="615">
        <f>SUM([26]A02!$Y$21:$AF$21)</f>
        <v>195</v>
      </c>
      <c r="AM10" s="615">
        <f>SUM([27]A02!$Y$21:$AF$21)</f>
        <v>54</v>
      </c>
      <c r="AN10" s="615">
        <f>SUM([28]A02!$Y$21:$AF$21)</f>
        <v>38</v>
      </c>
      <c r="AO10" s="615">
        <f>SUM([29]A02!$Y$21:$AF$21)</f>
        <v>79</v>
      </c>
      <c r="AP10" s="615">
        <f>SUM([30]A02!$Y$21:$AF$21)</f>
        <v>117</v>
      </c>
      <c r="AQ10" s="615">
        <f>SUM([31]A02!$Y$21:$AF$21)</f>
        <v>0</v>
      </c>
      <c r="AR10" s="258"/>
      <c r="AS10" s="258"/>
      <c r="AT10" s="436"/>
      <c r="AU10" s="436"/>
      <c r="AV10" s="436"/>
      <c r="AW10" s="436"/>
      <c r="AX10" s="264">
        <f t="shared" si="2"/>
        <v>483</v>
      </c>
      <c r="AY10" s="258"/>
      <c r="AZ10" s="615">
        <f>[26]A05!$C$13</f>
        <v>16</v>
      </c>
      <c r="BA10" s="615">
        <f>[27]A05!$C$13</f>
        <v>17</v>
      </c>
      <c r="BB10" s="615">
        <f>[28]A05!$C$13</f>
        <v>11</v>
      </c>
      <c r="BC10" s="615">
        <f>[29]A05!$C$13</f>
        <v>5</v>
      </c>
      <c r="BD10" s="615">
        <f>[30]A05!$C$13</f>
        <v>6</v>
      </c>
      <c r="BE10" s="615">
        <f>[31]A05!$C$13</f>
        <v>0</v>
      </c>
      <c r="BF10" s="258"/>
      <c r="BG10" s="258"/>
      <c r="BH10" s="436"/>
      <c r="BI10" s="436"/>
      <c r="BJ10" s="436"/>
      <c r="BK10" s="436"/>
      <c r="BL10" s="264">
        <f t="shared" si="3"/>
        <v>55</v>
      </c>
      <c r="BM10" s="258"/>
      <c r="BN10" s="615">
        <f>[26]A05!$C$11</f>
        <v>16</v>
      </c>
      <c r="BO10" s="615">
        <f>[27]A05!$C$11</f>
        <v>17</v>
      </c>
      <c r="BP10" s="615">
        <f>[28]A05!$C$11</f>
        <v>12</v>
      </c>
      <c r="BQ10" s="615">
        <f>[29]A05!$C$11</f>
        <v>8</v>
      </c>
      <c r="BR10" s="615">
        <f>[30]A05!$C$11</f>
        <v>12</v>
      </c>
      <c r="BS10" s="615">
        <f>[31]A05!$C$11</f>
        <v>0</v>
      </c>
      <c r="BT10" s="258"/>
      <c r="BU10" s="258"/>
      <c r="BV10" s="436"/>
      <c r="BW10" s="436"/>
      <c r="BX10" s="436"/>
      <c r="BY10" s="436"/>
      <c r="BZ10" s="264">
        <f t="shared" si="4"/>
        <v>65</v>
      </c>
      <c r="CB10" s="615">
        <f>SUM([26]A03!$J$21:$M$24)</f>
        <v>14</v>
      </c>
      <c r="CC10" s="615">
        <f>SUM([27]A03!$J$21:$M$24)</f>
        <v>10</v>
      </c>
      <c r="CD10" s="615">
        <f>SUM([28]A03!$J$21:$M$24)</f>
        <v>11</v>
      </c>
      <c r="CE10" s="615">
        <f>SUM([29]A03!$J$21:$M$24)</f>
        <v>10</v>
      </c>
      <c r="CF10" s="615">
        <f>SUM([30]A03!$J$21:$M$24)</f>
        <v>3</v>
      </c>
      <c r="CG10" s="615">
        <f>SUM([31]A03!$J$21:$M$24)</f>
        <v>0</v>
      </c>
      <c r="CH10" s="258"/>
      <c r="CI10" s="258"/>
      <c r="CJ10" s="436"/>
      <c r="CK10" s="436"/>
      <c r="CL10" s="436"/>
      <c r="CM10" s="436"/>
      <c r="CN10" s="264">
        <f t="shared" si="5"/>
        <v>48</v>
      </c>
      <c r="CO10" s="258"/>
      <c r="CP10" s="615">
        <f>SUM([26]A26!$C$10:$C$35,[26]A26!$C$40:$E$41,[26]A33!$B$44)</f>
        <v>84</v>
      </c>
      <c r="CQ10" s="615">
        <f>SUM([27]A26!$C$10:$C$35,[27]A26!$C$40:$E$41,[27]A33!$B$44)</f>
        <v>37</v>
      </c>
      <c r="CR10" s="615">
        <f>SUM([28]A26!$C$10:$C$35,[28]A26!$C$40:$E$41,[28]A33!$B$44)</f>
        <v>72</v>
      </c>
      <c r="CS10" s="615">
        <f>SUM([29]A26!$C$10:$C$35,[29]A26!$C$40:$E$41,[29]A33!$B$44)</f>
        <v>38</v>
      </c>
      <c r="CT10" s="615">
        <f>SUM([30]A26!$C$10:$C$35,[30]A26!$C$40:$E$41,[30]A33!$B$44)</f>
        <v>31</v>
      </c>
      <c r="CU10" s="615">
        <f>SUM([31]A26!$C$10:$C$35,[31]A26!$C$40:$E$41,[31]A33!$B$44)</f>
        <v>0</v>
      </c>
      <c r="CV10" s="258"/>
      <c r="CW10" s="258"/>
      <c r="CX10" s="436"/>
      <c r="CY10" s="436"/>
      <c r="CZ10" s="436"/>
      <c r="DA10" s="436"/>
      <c r="DB10" s="264">
        <f t="shared" si="6"/>
        <v>262</v>
      </c>
      <c r="DC10" s="615">
        <f>SUM([26]A01!$C$74,[26]A01!$F$74,[26]A32!$B$186:$B$187,[26]A32!$E$186:$E$187)</f>
        <v>18</v>
      </c>
      <c r="DD10" s="615">
        <f>SUM([27]A01!$C$74,[27]A01!$F$74,[27]A32!$B$186:$B$187,[27]A32!$E$186:$E$187)</f>
        <v>10</v>
      </c>
      <c r="DE10" s="615">
        <f>SUM([28]A01!$C$74,[28]A01!$F$74,[28]A32!$B$186:$B$187,[28]A32!$E$186:$E$187)</f>
        <v>22</v>
      </c>
      <c r="DF10" s="615">
        <f>SUM([29]A01!$C$74,[29]A01!$F$74,[29]A32!$B$186:$B$187,[29]A32!$E$186:$E$187)</f>
        <v>23</v>
      </c>
      <c r="DG10" s="615">
        <f>SUM([30]A01!$C$74,[30]A01!$F$74,[30]A32!$B$186:$B$187,[30]A32!$E$186:$E$187)</f>
        <v>51</v>
      </c>
      <c r="DH10" s="615">
        <f>SUM([31]A01!$C$74,[31]A01!$F$74,[31]A32!$B$186:$B$187,[31]A32!$E$186:$E$187)</f>
        <v>0</v>
      </c>
      <c r="DI10" s="258"/>
      <c r="DJ10" s="258"/>
      <c r="DK10" s="436"/>
      <c r="DL10" s="436"/>
      <c r="DM10" s="436"/>
      <c r="DN10" s="436"/>
      <c r="DO10" s="264">
        <f t="shared" si="7"/>
        <v>124</v>
      </c>
      <c r="DP10" s="258"/>
    </row>
    <row r="11" spans="2:214" s="260" customFormat="1" ht="12" x14ac:dyDescent="0.2">
      <c r="B11" s="265">
        <v>107400</v>
      </c>
      <c r="C11" s="151" t="s">
        <v>100</v>
      </c>
      <c r="E11" s="615">
        <f>SUM([32]A02!$F$21,[32]A02!$H$21,[32]A02!$J$21,[32]A02!$L$21,[32]A02!$N$21,[32]A02!$P$21,[32]A02!$R$21,[32]A02!$T$21,[32]A02!$V$21,[32]A02!$X$21)</f>
        <v>1</v>
      </c>
      <c r="F11" s="615">
        <f>SUM([33]A02!$F$21,[33]A02!$H$21,[33]A02!$J$21,[33]A02!$L$21,[33]A02!$N$21,[33]A02!$P$21,[33]A02!$R$21,[33]A02!$T$21,[33]A02!$V$21,[33]A02!$X$21)</f>
        <v>1</v>
      </c>
      <c r="G11" s="615">
        <f>SUM([34]A02!$F$21,[34]A02!$H$21,[34]A02!$J$21,[34]A02!$L$21,[34]A02!$N$21,[34]A02!$P$21,[34]A02!$R$21,[34]A02!$T$21,[34]A02!$V$21,[34]A02!$X$21)</f>
        <v>1</v>
      </c>
      <c r="H11" s="615">
        <f>SUM([35]A02!$F$21,[35]A02!$H$21,[35]A02!$J$21,[35]A02!$L$21,[35]A02!$N$21,[35]A02!$P$21,[35]A02!$R$21,[35]A02!$T$21,[35]A02!$V$21,[35]A02!$X$21)</f>
        <v>2</v>
      </c>
      <c r="I11" s="615">
        <f>SUM([36]A02!$F$21,[36]A02!$H$21,[36]A02!$J$21,[36]A02!$L$21,[36]A02!$N$21,[36]A02!$P$21,[36]A02!$R$21,[36]A02!$T$21,[36]A02!$V$21,[36]A02!$X$21)</f>
        <v>1</v>
      </c>
      <c r="J11" s="615">
        <f>SUM([37]A02!$F$21,[37]A02!$H$21,[37]A02!$J$21,[37]A02!$L$21,[37]A02!$N$21,[37]A02!$P$21,[37]A02!$R$21,[37]A02!$T$21,[37]A02!$V$21,[37]A02!$X$21)</f>
        <v>0</v>
      </c>
      <c r="K11" s="258"/>
      <c r="L11" s="258"/>
      <c r="M11" s="436"/>
      <c r="N11" s="436"/>
      <c r="O11" s="436"/>
      <c r="P11" s="436"/>
      <c r="Q11" s="264">
        <f t="shared" si="0"/>
        <v>6</v>
      </c>
      <c r="R11" s="745"/>
      <c r="S11" s="615">
        <f>SUM([32]A02!$E$21,[32]A02!$G$21,[32]A02!$I$21,[32]A02!$K$21,[32]A02!$M$21,[32]A02!$O$21,[32]A02!$Q$21,[32]A02!$S$21,[32]A02!$U$21,[32]A02!$W$21)</f>
        <v>1</v>
      </c>
      <c r="T11" s="615">
        <f>SUM([33]A02!$E$21,[33]A02!$G$21,[33]A02!$I$21,[33]A02!$K$21,[33]A02!$M$21,[33]A02!$O$21,[33]A02!$Q$21,[33]A02!$S$21,[33]A02!$U$21,[33]A02!$W$21)</f>
        <v>0</v>
      </c>
      <c r="U11" s="615">
        <f>SUM([34]A02!$E$21,[34]A02!$G$21,[34]A02!$I$21,[34]A02!$K$21,[34]A02!$M$21,[34]A02!$O$21,[34]A02!$Q$21,[34]A02!$S$21,[34]A02!$U$21,[34]A02!$W$21)</f>
        <v>1</v>
      </c>
      <c r="V11" s="615">
        <f>SUM([35]A02!$E$21,[35]A02!$G$21,[35]A02!$I$21,[35]A02!$K$21,[35]A02!$M$21,[35]A02!$O$21,[35]A02!$Q$21,[35]A02!$S$21,[35]A02!$U$21,[35]A02!$W$21)</f>
        <v>3</v>
      </c>
      <c r="W11" s="615">
        <f>SUM([36]A02!$E$21,[36]A02!$G$21,[36]A02!$I$21,[36]A02!$K$21,[36]A02!$M$21,[36]A02!$O$21,[36]A02!$Q$21,[36]A02!$S$21,[36]A02!$U$21,[36]A02!$W$21)</f>
        <v>1</v>
      </c>
      <c r="X11" s="615">
        <f>SUM([37]A02!$E$21,[37]A02!$G$21,[37]A02!$I$21,[37]A02!$K$21,[37]A02!$M$21,[37]A02!$O$21,[37]A02!$Q$21,[37]A02!$S$21,[37]A02!$U$21,[37]A02!$W$21)</f>
        <v>0</v>
      </c>
      <c r="Y11" s="258"/>
      <c r="Z11" s="258"/>
      <c r="AA11" s="436"/>
      <c r="AB11" s="436"/>
      <c r="AC11" s="436"/>
      <c r="AD11" s="436"/>
      <c r="AE11" s="264">
        <f t="shared" si="1"/>
        <v>6</v>
      </c>
      <c r="AF11" s="745"/>
      <c r="AG11" s="745"/>
      <c r="AH11" s="745"/>
      <c r="AI11" s="258"/>
      <c r="AJ11" s="258"/>
      <c r="AK11" s="258"/>
      <c r="AL11" s="615">
        <f>SUM([32]A02!$Y$21:$AF$21)</f>
        <v>10</v>
      </c>
      <c r="AM11" s="615">
        <f>SUM([33]A02!$Y$21:$AF$21)</f>
        <v>3</v>
      </c>
      <c r="AN11" s="615">
        <f>SUM([34]A02!$Y$21:$AF$21)</f>
        <v>3</v>
      </c>
      <c r="AO11" s="615">
        <f>SUM([35]A02!$Y$21:$AF$21)</f>
        <v>12</v>
      </c>
      <c r="AP11" s="615">
        <f>SUM([36]A02!$Y$21:$AF$21)</f>
        <v>9</v>
      </c>
      <c r="AQ11" s="615">
        <f>SUM([37]A02!$Y$21:$AF$21)</f>
        <v>0</v>
      </c>
      <c r="AR11" s="258"/>
      <c r="AS11" s="258"/>
      <c r="AT11" s="436"/>
      <c r="AU11" s="436"/>
      <c r="AV11" s="436"/>
      <c r="AW11" s="436"/>
      <c r="AX11" s="264">
        <f t="shared" si="2"/>
        <v>37</v>
      </c>
      <c r="AY11" s="258"/>
      <c r="AZ11" s="615">
        <f>[32]A05!$C$13</f>
        <v>0</v>
      </c>
      <c r="BA11" s="615">
        <f>[33]A05!$C$13</f>
        <v>1</v>
      </c>
      <c r="BB11" s="615">
        <f>[34]A05!$C$13</f>
        <v>0</v>
      </c>
      <c r="BC11" s="615">
        <f>[35]A05!$C$13</f>
        <v>0</v>
      </c>
      <c r="BD11" s="615">
        <f>[36]A05!$C$13</f>
        <v>0</v>
      </c>
      <c r="BE11" s="615">
        <f>[37]A05!$C$13</f>
        <v>0</v>
      </c>
      <c r="BF11" s="258"/>
      <c r="BG11" s="258"/>
      <c r="BH11" s="436"/>
      <c r="BI11" s="436"/>
      <c r="BJ11" s="436"/>
      <c r="BK11" s="436"/>
      <c r="BL11" s="264">
        <f t="shared" si="3"/>
        <v>1</v>
      </c>
      <c r="BM11" s="258"/>
      <c r="BN11" s="615">
        <f>[32]A05!$C$11</f>
        <v>0</v>
      </c>
      <c r="BO11" s="615">
        <f>[33]A05!$C$11</f>
        <v>1</v>
      </c>
      <c r="BP11" s="615">
        <f>[34]A05!$C$11</f>
        <v>0</v>
      </c>
      <c r="BQ11" s="615">
        <f>[35]A05!$C$11</f>
        <v>0</v>
      </c>
      <c r="BR11" s="615">
        <f>[36]A05!$C$11</f>
        <v>0</v>
      </c>
      <c r="BS11" s="615">
        <f>[37]A05!$C$11</f>
        <v>0</v>
      </c>
      <c r="BT11" s="258"/>
      <c r="BU11" s="258"/>
      <c r="BV11" s="436"/>
      <c r="BW11" s="436"/>
      <c r="BX11" s="436"/>
      <c r="BY11" s="436"/>
      <c r="BZ11" s="264">
        <f t="shared" si="4"/>
        <v>1</v>
      </c>
      <c r="CB11" s="615">
        <f>SUM([32]A03!$J$21:$M$24)</f>
        <v>0</v>
      </c>
      <c r="CC11" s="615">
        <f>SUM([33]A03!$J$21:$M$24)</f>
        <v>0</v>
      </c>
      <c r="CD11" s="615">
        <f>SUM([34]A03!$J$21:$M$24)</f>
        <v>1</v>
      </c>
      <c r="CE11" s="615">
        <f>SUM([35]A03!$J$21:$M$24)</f>
        <v>0</v>
      </c>
      <c r="CF11" s="615">
        <f>SUM([36]A03!$J$21:$M$24)</f>
        <v>0</v>
      </c>
      <c r="CG11" s="615">
        <f>SUM([37]A03!$J$21:$M$24)</f>
        <v>0</v>
      </c>
      <c r="CH11" s="258"/>
      <c r="CI11" s="258"/>
      <c r="CJ11" s="436"/>
      <c r="CK11" s="436"/>
      <c r="CL11" s="436"/>
      <c r="CM11" s="436"/>
      <c r="CN11" s="264">
        <f t="shared" si="5"/>
        <v>1</v>
      </c>
      <c r="CO11" s="258"/>
      <c r="CP11" s="615">
        <f>SUM([32]A26!$C$10:$C$35,[32]A26!$C$40:$E$41,[32]A33!$B$44)</f>
        <v>2</v>
      </c>
      <c r="CQ11" s="615">
        <f>SUM([33]A26!$C$10:$C$35,[33]A26!$C$40:$E$41,[33]A33!$B$44)</f>
        <v>0</v>
      </c>
      <c r="CR11" s="615">
        <f>SUM([34]A26!$C$10:$C$35,[34]A26!$C$40:$E$41,[34]A33!$B$44)</f>
        <v>1</v>
      </c>
      <c r="CS11" s="615">
        <f>SUM([35]A26!$C$10:$C$35,[35]A26!$C$40:$E$41,[35]A33!$B$44)</f>
        <v>3</v>
      </c>
      <c r="CT11" s="615">
        <f>SUM([36]A26!$C$10:$C$35,[36]A26!$C$40:$E$41,[36]A33!$B$44)</f>
        <v>0</v>
      </c>
      <c r="CU11" s="615">
        <f>SUM([37]A26!$C$10:$C$35,[37]A26!$C$40:$E$41,[37]A33!$B$44)</f>
        <v>0</v>
      </c>
      <c r="CV11" s="258"/>
      <c r="CW11" s="258"/>
      <c r="CX11" s="436"/>
      <c r="CY11" s="436"/>
      <c r="CZ11" s="436"/>
      <c r="DA11" s="436"/>
      <c r="DB11" s="264">
        <f t="shared" si="6"/>
        <v>6</v>
      </c>
      <c r="DC11" s="615">
        <f>SUM([32]A01!$C$74,[32]A01!$F$74,[32]A32!$B$186:$B$187,[32]A32!$E$186:$E$187)</f>
        <v>3</v>
      </c>
      <c r="DD11" s="615">
        <f>SUM([33]A01!$C$74,[33]A01!$F$74,[33]A32!$B$186:$B$187,[33]A32!$E$186:$E$187)</f>
        <v>0</v>
      </c>
      <c r="DE11" s="615">
        <f>SUM([34]A01!$C$74,[34]A01!$F$74,[34]A32!$B$186:$B$187,[34]A32!$E$186:$E$187)</f>
        <v>1</v>
      </c>
      <c r="DF11" s="615">
        <f>SUM([35]A01!$C$74,[35]A01!$F$74,[35]A32!$B$186:$B$187,[35]A32!$E$186:$E$187)</f>
        <v>0</v>
      </c>
      <c r="DG11" s="615">
        <f>SUM([36]A01!$C$74,[36]A01!$F$74,[36]A32!$B$186:$B$187,[36]A32!$E$186:$E$187)</f>
        <v>0</v>
      </c>
      <c r="DH11" s="615">
        <f>SUM([37]A01!$C$74,[37]A01!$F$74,[37]A32!$B$186:$B$187,[37]A32!$E$186:$E$187)</f>
        <v>0</v>
      </c>
      <c r="DI11" s="258"/>
      <c r="DJ11" s="258"/>
      <c r="DK11" s="436"/>
      <c r="DL11" s="436"/>
      <c r="DM11" s="436"/>
      <c r="DN11" s="436"/>
      <c r="DO11" s="264">
        <f t="shared" si="7"/>
        <v>4</v>
      </c>
      <c r="DP11" s="258"/>
    </row>
    <row r="12" spans="2:214" s="260" customFormat="1" thickBot="1" x14ac:dyDescent="0.25">
      <c r="B12" s="267">
        <v>107756</v>
      </c>
      <c r="C12" s="153" t="s">
        <v>101</v>
      </c>
      <c r="D12" s="266"/>
      <c r="E12" s="615">
        <f>SUM([38]A02!$F$21,[38]A02!$H$21,[38]A02!$J$21,[38]A02!$L$21,[38]A02!$N$21,[38]A02!$P$21,[38]A02!$R$21,[38]A02!$T$21,[38]A02!$V$21,[38]A02!$X$21)</f>
        <v>4</v>
      </c>
      <c r="F12" s="615">
        <f>SUM([39]A02!$F$21,[39]A02!$H$21,[39]A02!$J$21,[39]A02!$L$21,[39]A02!$N$21,[39]A02!$P$21,[39]A02!$R$21,[39]A02!$T$21,[39]A02!$V$21,[39]A02!$X$21)</f>
        <v>3</v>
      </c>
      <c r="G12" s="615">
        <f>SUM([40]A02!$F$21,[40]A02!$H$21,[40]A02!$J$21,[40]A02!$L$21,[40]A02!$N$21,[40]A02!$P$21,[40]A02!$R$21,[40]A02!$T$21,[40]A02!$V$21,[40]A02!$X$21)</f>
        <v>7</v>
      </c>
      <c r="H12" s="615">
        <f>SUM([41]A02!$F$21,[41]A02!$H$21,[41]A02!$J$21,[41]A02!$L$21,[41]A02!$N$21,[41]A02!$P$21,[41]A02!$R$21,[41]A02!$T$21,[41]A02!$V$21,[41]A02!$X$21)</f>
        <v>0</v>
      </c>
      <c r="I12" s="615">
        <f>SUM([42]A02!$F$21,[42]A02!$H$21,[42]A02!$J$21,[42]A02!$L$21,[42]A02!$N$21,[42]A02!$P$21,[42]A02!$R$21,[42]A02!$T$21,[42]A02!$V$21,[42]A02!$X$21)</f>
        <v>1</v>
      </c>
      <c r="J12" s="615">
        <f>SUM([43]A02!$F$21,[43]A02!$H$21,[43]A02!$J$21,[43]A02!$L$21,[43]A02!$N$21,[43]A02!$P$21,[43]A02!$R$21,[43]A02!$T$21,[43]A02!$V$21,[43]A02!$X$21)</f>
        <v>0</v>
      </c>
      <c r="K12" s="258"/>
      <c r="L12" s="258"/>
      <c r="M12" s="436"/>
      <c r="N12" s="436"/>
      <c r="O12" s="436"/>
      <c r="P12" s="436"/>
      <c r="Q12" s="264">
        <f t="shared" si="0"/>
        <v>15</v>
      </c>
      <c r="R12" s="745"/>
      <c r="S12" s="615">
        <f>SUM([38]A02!$E$21,[38]A02!$G$21,[38]A02!$I$21,[38]A02!$K$21,[38]A02!$M$21,[38]A02!$O$21,[38]A02!$Q$21,[38]A02!$S$21,[38]A02!$U$21,[38]A02!$W$21)</f>
        <v>1</v>
      </c>
      <c r="T12" s="615">
        <f>SUM([39]A02!$E$21,[39]A02!$G$21,[39]A02!$I$21,[39]A02!$K$21,[39]A02!$M$21,[39]A02!$O$21,[39]A02!$Q$21,[39]A02!$S$21,[39]A02!$U$21,[39]A02!$W$21)</f>
        <v>0</v>
      </c>
      <c r="U12" s="615">
        <f>SUM([40]A02!$E$21,[40]A02!$G$21,[40]A02!$I$21,[40]A02!$K$21,[40]A02!$M$21,[40]A02!$O$21,[40]A02!$Q$21,[40]A02!$S$21,[40]A02!$U$21,[40]A02!$W$21)</f>
        <v>2</v>
      </c>
      <c r="V12" s="615">
        <f>SUM([41]A02!$E$21,[41]A02!$G$21,[41]A02!$I$21,[41]A02!$K$21,[41]A02!$M$21,[41]A02!$O$21,[41]A02!$Q$21,[41]A02!$S$21,[41]A02!$U$21,[41]A02!$W$21)</f>
        <v>1</v>
      </c>
      <c r="W12" s="615">
        <f>SUM([42]A02!$E$21,[42]A02!$G$21,[42]A02!$I$21,[42]A02!$K$21,[42]A02!$M$21,[42]A02!$O$21,[42]A02!$Q$21,[42]A02!$S$21,[42]A02!$U$21,[42]A02!$W$21)</f>
        <v>0</v>
      </c>
      <c r="X12" s="615">
        <f>SUM([43]A02!$E$21,[43]A02!$G$21,[43]A02!$I$21,[43]A02!$K$21,[43]A02!$M$21,[43]A02!$O$21,[43]A02!$Q$21,[43]A02!$S$21,[43]A02!$U$21,[43]A02!$W$21)</f>
        <v>0</v>
      </c>
      <c r="Y12" s="258"/>
      <c r="Z12" s="258"/>
      <c r="AA12" s="436"/>
      <c r="AB12" s="436"/>
      <c r="AC12" s="436"/>
      <c r="AD12" s="436"/>
      <c r="AE12" s="264">
        <f t="shared" si="1"/>
        <v>4</v>
      </c>
      <c r="AF12" s="745"/>
      <c r="AG12" s="745"/>
      <c r="AH12" s="745"/>
      <c r="AI12" s="258"/>
      <c r="AJ12" s="258"/>
      <c r="AK12" s="258"/>
      <c r="AL12" s="615">
        <f>SUM([38]A02!$Y$21:$AF$21)</f>
        <v>0</v>
      </c>
      <c r="AM12" s="615">
        <f>SUM([39]A02!$Y$21:$AF$21)</f>
        <v>0</v>
      </c>
      <c r="AN12" s="615">
        <f>SUM([40]A02!$Y$21:$AF$21)</f>
        <v>0</v>
      </c>
      <c r="AO12" s="615">
        <f>SUM([41]A02!$Y$21:$AF$21)</f>
        <v>0</v>
      </c>
      <c r="AP12" s="615">
        <f>SUM([42]A02!$Y$21:$AF$21)</f>
        <v>0</v>
      </c>
      <c r="AQ12" s="615">
        <f>SUM([43]A02!$Y$21:$AF$21)</f>
        <v>0</v>
      </c>
      <c r="AR12" s="258"/>
      <c r="AS12" s="258"/>
      <c r="AT12" s="436"/>
      <c r="AU12" s="436"/>
      <c r="AV12" s="436"/>
      <c r="AW12" s="436"/>
      <c r="AX12" s="264">
        <f t="shared" si="2"/>
        <v>0</v>
      </c>
      <c r="AY12" s="258"/>
      <c r="AZ12" s="615">
        <f>[38]A05!$C$13</f>
        <v>2</v>
      </c>
      <c r="BA12" s="615">
        <f>[39]A05!$C$13</f>
        <v>2</v>
      </c>
      <c r="BB12" s="615">
        <f>[40]A05!$C$13</f>
        <v>0</v>
      </c>
      <c r="BC12" s="615">
        <f>[41]A05!$C$13</f>
        <v>0</v>
      </c>
      <c r="BD12" s="615">
        <f>[42]A05!$C$13</f>
        <v>2</v>
      </c>
      <c r="BE12" s="615">
        <f>[43]A05!$C$13</f>
        <v>0</v>
      </c>
      <c r="BF12" s="258"/>
      <c r="BG12" s="258"/>
      <c r="BH12" s="436"/>
      <c r="BI12" s="436"/>
      <c r="BJ12" s="436"/>
      <c r="BK12" s="436"/>
      <c r="BL12" s="264">
        <f t="shared" si="3"/>
        <v>6</v>
      </c>
      <c r="BM12" s="258"/>
      <c r="BN12" s="615">
        <f>[38]A05!$C$11</f>
        <v>3</v>
      </c>
      <c r="BO12" s="615">
        <f>[39]A05!$C$11</f>
        <v>4</v>
      </c>
      <c r="BP12" s="615">
        <f>[40]A05!$C$11</f>
        <v>0</v>
      </c>
      <c r="BQ12" s="615">
        <f>[41]A05!$C$11</f>
        <v>2</v>
      </c>
      <c r="BR12" s="615">
        <f>[42]A05!$C$11</f>
        <v>2</v>
      </c>
      <c r="BS12" s="615">
        <f>[43]A05!$C$11</f>
        <v>0</v>
      </c>
      <c r="BT12" s="258"/>
      <c r="BU12" s="258"/>
      <c r="BV12" s="436"/>
      <c r="BW12" s="436"/>
      <c r="BX12" s="436"/>
      <c r="BY12" s="436"/>
      <c r="BZ12" s="264">
        <f t="shared" si="4"/>
        <v>11</v>
      </c>
      <c r="CB12" s="615">
        <f>SUM([38]A03!$J$21:$M$24)</f>
        <v>2</v>
      </c>
      <c r="CC12" s="615">
        <f>SUM([39]A03!$J$21:$M$24)</f>
        <v>0</v>
      </c>
      <c r="CD12" s="615">
        <f>SUM([40]A03!$J$21:$M$24)</f>
        <v>0</v>
      </c>
      <c r="CE12" s="615">
        <f>SUM([41]A03!$J$21:$M$24)</f>
        <v>8</v>
      </c>
      <c r="CF12" s="615">
        <f>SUM([42]A03!$J$21:$M$24)</f>
        <v>2</v>
      </c>
      <c r="CG12" s="615">
        <f>SUM([43]A03!$J$21:$M$24)</f>
        <v>0</v>
      </c>
      <c r="CH12" s="258"/>
      <c r="CI12" s="258"/>
      <c r="CJ12" s="436"/>
      <c r="CK12" s="436"/>
      <c r="CL12" s="436"/>
      <c r="CM12" s="436"/>
      <c r="CN12" s="264">
        <f t="shared" si="5"/>
        <v>12</v>
      </c>
      <c r="CO12" s="258"/>
      <c r="CP12" s="615">
        <f>SUM([38]A26!$C$10:$C$35,[38]A26!$C$40:$E$41,[38]A33!$B$44)</f>
        <v>68</v>
      </c>
      <c r="CQ12" s="615">
        <f>SUM([39]A26!$C$10:$C$35,[39]A26!$C$40:$E$41,[39]A33!$B$44)</f>
        <v>18</v>
      </c>
      <c r="CR12" s="615">
        <f>SUM([40]A26!$C$10:$C$35,[40]A26!$C$40:$E$41,[40]A33!$B$44)</f>
        <v>41</v>
      </c>
      <c r="CS12" s="615">
        <f>SUM([41]A26!$C$10:$C$35,[41]A26!$C$40:$E$41,[41]A33!$B$44)</f>
        <v>34</v>
      </c>
      <c r="CT12" s="615">
        <f>SUM([42]A26!$C$10:$C$35,[42]A26!$C$40:$E$41,[42]A33!$B$44)</f>
        <v>22</v>
      </c>
      <c r="CU12" s="615">
        <f>SUM([43]A26!$C$10:$C$35,[43]A26!$C$40:$E$41,[43]A33!$B$44)</f>
        <v>0</v>
      </c>
      <c r="CV12" s="258"/>
      <c r="CW12" s="258"/>
      <c r="CX12" s="436"/>
      <c r="CY12" s="436"/>
      <c r="CZ12" s="436"/>
      <c r="DA12" s="436"/>
      <c r="DB12" s="264">
        <f t="shared" si="6"/>
        <v>183</v>
      </c>
      <c r="DC12" s="615">
        <f>SUM([38]A01!$C$74,[38]A01!$F$74,[38]A32!$B$186:$B$187,[38]A32!$E$186:$E$187)</f>
        <v>0</v>
      </c>
      <c r="DD12" s="615">
        <f>SUM([39]A01!$C$74,[39]A01!$F$74,[39]A32!$B$186:$B$187,[39]A32!$E$186:$E$187)</f>
        <v>0</v>
      </c>
      <c r="DE12" s="615">
        <f>SUM([40]A01!$C$74,[40]A01!$F$74,[40]A32!$B$186:$B$187,[40]A32!$E$186:$E$187)</f>
        <v>6</v>
      </c>
      <c r="DF12" s="615">
        <f>SUM([41]A01!$C$74,[41]A01!$F$74,[41]A32!$B$186:$B$187,[41]A32!$E$186:$E$187)</f>
        <v>5</v>
      </c>
      <c r="DG12" s="615">
        <f>SUM([42]A01!$C$74,[42]A01!$F$74,[42]A32!$B$186:$B$187,[42]A32!$E$186:$E$187)</f>
        <v>0</v>
      </c>
      <c r="DH12" s="615">
        <f>SUM([43]A01!$C$74,[43]A01!$F$74,[43]A32!$B$186:$B$187,[43]A32!$E$186:$E$187)</f>
        <v>0</v>
      </c>
      <c r="DI12" s="258"/>
      <c r="DJ12" s="258"/>
      <c r="DK12" s="436"/>
      <c r="DL12" s="436"/>
      <c r="DM12" s="436"/>
      <c r="DN12" s="436"/>
      <c r="DO12" s="264">
        <f t="shared" si="7"/>
        <v>11</v>
      </c>
      <c r="DP12" s="258"/>
    </row>
    <row r="13" spans="2:214" s="260" customFormat="1" thickBot="1" x14ac:dyDescent="0.25">
      <c r="B13" s="268"/>
      <c r="C13" s="269" t="s">
        <v>202</v>
      </c>
      <c r="D13" s="270"/>
      <c r="E13" s="271">
        <f>SUM(E6:E12)</f>
        <v>362</v>
      </c>
      <c r="F13" s="271">
        <f t="shared" ref="F13:P13" si="8">SUM(F6:F12)</f>
        <v>175</v>
      </c>
      <c r="G13" s="271">
        <f t="shared" si="8"/>
        <v>243</v>
      </c>
      <c r="H13" s="271">
        <f t="shared" si="8"/>
        <v>392</v>
      </c>
      <c r="I13" s="271">
        <f t="shared" si="8"/>
        <v>394</v>
      </c>
      <c r="J13" s="271">
        <f t="shared" si="8"/>
        <v>0</v>
      </c>
      <c r="K13" s="271">
        <f t="shared" si="8"/>
        <v>0</v>
      </c>
      <c r="L13" s="271">
        <f t="shared" si="8"/>
        <v>0</v>
      </c>
      <c r="M13" s="271">
        <f t="shared" si="8"/>
        <v>0</v>
      </c>
      <c r="N13" s="271">
        <f t="shared" si="8"/>
        <v>0</v>
      </c>
      <c r="O13" s="271">
        <f t="shared" si="8"/>
        <v>0</v>
      </c>
      <c r="P13" s="271">
        <f t="shared" si="8"/>
        <v>0</v>
      </c>
      <c r="Q13" s="271">
        <f>SUM(Q6:Q12)</f>
        <v>1566</v>
      </c>
      <c r="R13" s="746"/>
      <c r="S13" s="271">
        <f>SUM(S6:S12)</f>
        <v>156</v>
      </c>
      <c r="T13" s="271">
        <f t="shared" ref="T13:AD13" si="9">SUM(T6:T12)</f>
        <v>74</v>
      </c>
      <c r="U13" s="271">
        <f t="shared" si="9"/>
        <v>62</v>
      </c>
      <c r="V13" s="271">
        <f t="shared" si="9"/>
        <v>157</v>
      </c>
      <c r="W13" s="271">
        <f t="shared" si="9"/>
        <v>137</v>
      </c>
      <c r="X13" s="271">
        <f t="shared" si="9"/>
        <v>0</v>
      </c>
      <c r="Y13" s="271">
        <f t="shared" si="9"/>
        <v>0</v>
      </c>
      <c r="Z13" s="271">
        <f t="shared" si="9"/>
        <v>0</v>
      </c>
      <c r="AA13" s="271">
        <f t="shared" si="9"/>
        <v>0</v>
      </c>
      <c r="AB13" s="271">
        <f t="shared" si="9"/>
        <v>0</v>
      </c>
      <c r="AC13" s="271">
        <f t="shared" si="9"/>
        <v>0</v>
      </c>
      <c r="AD13" s="271">
        <f t="shared" si="9"/>
        <v>0</v>
      </c>
      <c r="AE13" s="271">
        <f>SUM(AE6:AE12)</f>
        <v>586</v>
      </c>
      <c r="AF13" s="746"/>
      <c r="AG13" s="746"/>
      <c r="AH13" s="746"/>
      <c r="AI13" s="258"/>
      <c r="AJ13" s="258"/>
      <c r="AK13" s="258"/>
      <c r="AL13" s="271">
        <f>SUM(AL6:AL12)</f>
        <v>769</v>
      </c>
      <c r="AM13" s="271">
        <f t="shared" ref="AM13" si="10">SUM(AM6:AM12)</f>
        <v>354</v>
      </c>
      <c r="AN13" s="271">
        <f t="shared" ref="AN13" si="11">SUM(AN6:AN12)</f>
        <v>360</v>
      </c>
      <c r="AO13" s="271">
        <f t="shared" ref="AO13" si="12">SUM(AO6:AO12)</f>
        <v>607</v>
      </c>
      <c r="AP13" s="271">
        <f t="shared" ref="AP13" si="13">SUM(AP6:AP12)</f>
        <v>639</v>
      </c>
      <c r="AQ13" s="271">
        <f t="shared" ref="AQ13" si="14">SUM(AQ6:AQ12)</f>
        <v>0</v>
      </c>
      <c r="AR13" s="271">
        <f t="shared" ref="AR13" si="15">SUM(AR6:AR12)</f>
        <v>0</v>
      </c>
      <c r="AS13" s="271">
        <f t="shared" ref="AS13" si="16">SUM(AS6:AS12)</f>
        <v>0</v>
      </c>
      <c r="AT13" s="271">
        <f t="shared" ref="AT13" si="17">SUM(AT6:AT12)</f>
        <v>0</v>
      </c>
      <c r="AU13" s="271">
        <f t="shared" ref="AU13" si="18">SUM(AU6:AU12)</f>
        <v>0</v>
      </c>
      <c r="AV13" s="271">
        <f t="shared" ref="AV13" si="19">SUM(AV6:AV12)</f>
        <v>0</v>
      </c>
      <c r="AW13" s="271">
        <f t="shared" ref="AW13" si="20">SUM(AW6:AW12)</f>
        <v>0</v>
      </c>
      <c r="AX13" s="271">
        <f>SUM(AX6:AX12)</f>
        <v>2729</v>
      </c>
      <c r="AY13" s="258"/>
      <c r="AZ13" s="271">
        <f>SUM(AZ6:AZ12)</f>
        <v>94</v>
      </c>
      <c r="BA13" s="271">
        <f t="shared" ref="BA13" si="21">SUM(BA6:BA12)</f>
        <v>82</v>
      </c>
      <c r="BB13" s="271">
        <f t="shared" ref="BB13" si="22">SUM(BB6:BB12)</f>
        <v>74</v>
      </c>
      <c r="BC13" s="271">
        <f t="shared" ref="BC13" si="23">SUM(BC6:BC12)</f>
        <v>66</v>
      </c>
      <c r="BD13" s="271">
        <f t="shared" ref="BD13" si="24">SUM(BD6:BD12)</f>
        <v>54</v>
      </c>
      <c r="BE13" s="271">
        <f t="shared" ref="BE13" si="25">SUM(BE6:BE12)</f>
        <v>0</v>
      </c>
      <c r="BF13" s="271">
        <f t="shared" ref="BF13" si="26">SUM(BF6:BF12)</f>
        <v>0</v>
      </c>
      <c r="BG13" s="271">
        <f t="shared" ref="BG13" si="27">SUM(BG6:BG12)</f>
        <v>0</v>
      </c>
      <c r="BH13" s="271">
        <f t="shared" ref="BH13" si="28">SUM(BH6:BH12)</f>
        <v>0</v>
      </c>
      <c r="BI13" s="271">
        <f t="shared" ref="BI13" si="29">SUM(BI6:BI12)</f>
        <v>0</v>
      </c>
      <c r="BJ13" s="271">
        <f t="shared" ref="BJ13" si="30">SUM(BJ6:BJ12)</f>
        <v>0</v>
      </c>
      <c r="BK13" s="271">
        <f t="shared" ref="BK13" si="31">SUM(BK6:BK12)</f>
        <v>0</v>
      </c>
      <c r="BL13" s="271">
        <f>SUM(BL6:BL12)</f>
        <v>370</v>
      </c>
      <c r="BM13" s="258"/>
      <c r="BN13" s="271">
        <f>SUM(BN6:BN12)</f>
        <v>103</v>
      </c>
      <c r="BO13" s="271">
        <f t="shared" ref="BO13" si="32">SUM(BO6:BO12)</f>
        <v>90</v>
      </c>
      <c r="BP13" s="271">
        <f t="shared" ref="BP13" si="33">SUM(BP6:BP12)</f>
        <v>82</v>
      </c>
      <c r="BQ13" s="271">
        <f t="shared" ref="BQ13" si="34">SUM(BQ6:BQ12)</f>
        <v>78</v>
      </c>
      <c r="BR13" s="271">
        <f t="shared" ref="BR13" si="35">SUM(BR6:BR12)</f>
        <v>65</v>
      </c>
      <c r="BS13" s="271">
        <f t="shared" ref="BS13" si="36">SUM(BS6:BS12)</f>
        <v>0</v>
      </c>
      <c r="BT13" s="271">
        <f t="shared" ref="BT13" si="37">SUM(BT6:BT12)</f>
        <v>0</v>
      </c>
      <c r="BU13" s="271">
        <f t="shared" ref="BU13" si="38">SUM(BU6:BU12)</f>
        <v>0</v>
      </c>
      <c r="BV13" s="271">
        <f t="shared" ref="BV13" si="39">SUM(BV6:BV12)</f>
        <v>0</v>
      </c>
      <c r="BW13" s="271">
        <f t="shared" ref="BW13" si="40">SUM(BW6:BW12)</f>
        <v>0</v>
      </c>
      <c r="BX13" s="271">
        <f t="shared" ref="BX13" si="41">SUM(BX6:BX12)</f>
        <v>0</v>
      </c>
      <c r="BY13" s="271">
        <f t="shared" ref="BY13" si="42">SUM(BY6:BY12)</f>
        <v>0</v>
      </c>
      <c r="BZ13" s="271">
        <f>SUM(BZ6:BZ12)</f>
        <v>418</v>
      </c>
      <c r="CB13" s="271">
        <f>SUM(CB6:CB12)</f>
        <v>71</v>
      </c>
      <c r="CC13" s="271">
        <f t="shared" ref="CC13" si="43">SUM(CC6:CC12)</f>
        <v>53</v>
      </c>
      <c r="CD13" s="271">
        <f t="shared" ref="CD13" si="44">SUM(CD6:CD12)</f>
        <v>84</v>
      </c>
      <c r="CE13" s="271">
        <f t="shared" ref="CE13" si="45">SUM(CE6:CE12)</f>
        <v>85</v>
      </c>
      <c r="CF13" s="271">
        <f t="shared" ref="CF13" si="46">SUM(CF6:CF12)</f>
        <v>49</v>
      </c>
      <c r="CG13" s="271">
        <f t="shared" ref="CG13" si="47">SUM(CG6:CG12)</f>
        <v>0</v>
      </c>
      <c r="CH13" s="271">
        <f t="shared" ref="CH13" si="48">SUM(CH6:CH12)</f>
        <v>0</v>
      </c>
      <c r="CI13" s="271">
        <f t="shared" ref="CI13" si="49">SUM(CI6:CI12)</f>
        <v>0</v>
      </c>
      <c r="CJ13" s="271">
        <f t="shared" ref="CJ13" si="50">SUM(CJ6:CJ12)</f>
        <v>0</v>
      </c>
      <c r="CK13" s="271">
        <f t="shared" ref="CK13" si="51">SUM(CK6:CK12)</f>
        <v>0</v>
      </c>
      <c r="CL13" s="271">
        <f t="shared" ref="CL13" si="52">SUM(CL6:CL12)</f>
        <v>0</v>
      </c>
      <c r="CM13" s="271">
        <f t="shared" ref="CM13" si="53">SUM(CM6:CM12)</f>
        <v>0</v>
      </c>
      <c r="CN13" s="271">
        <f>SUM(CN6:CN12)</f>
        <v>342</v>
      </c>
      <c r="CO13" s="258"/>
      <c r="CP13" s="271">
        <f>SUM(CP6:CP12)</f>
        <v>457</v>
      </c>
      <c r="CQ13" s="271">
        <f t="shared" ref="CQ13" si="54">SUM(CQ6:CQ12)</f>
        <v>235</v>
      </c>
      <c r="CR13" s="271">
        <f t="shared" ref="CR13" si="55">SUM(CR6:CR12)</f>
        <v>366</v>
      </c>
      <c r="CS13" s="271">
        <f t="shared" ref="CS13" si="56">SUM(CS6:CS12)</f>
        <v>334</v>
      </c>
      <c r="CT13" s="271">
        <f t="shared" ref="CT13" si="57">SUM(CT6:CT12)</f>
        <v>314</v>
      </c>
      <c r="CU13" s="271">
        <f t="shared" ref="CU13" si="58">SUM(CU6:CU12)</f>
        <v>0</v>
      </c>
      <c r="CV13" s="271">
        <f t="shared" ref="CV13" si="59">SUM(CV6:CV12)</f>
        <v>0</v>
      </c>
      <c r="CW13" s="271">
        <f t="shared" ref="CW13" si="60">SUM(CW6:CW12)</f>
        <v>0</v>
      </c>
      <c r="CX13" s="271">
        <f t="shared" ref="CX13" si="61">SUM(CX6:CX12)</f>
        <v>0</v>
      </c>
      <c r="CY13" s="271">
        <f t="shared" ref="CY13" si="62">SUM(CY6:CY12)</f>
        <v>0</v>
      </c>
      <c r="CZ13" s="271">
        <f t="shared" ref="CZ13" si="63">SUM(CZ6:CZ12)</f>
        <v>0</v>
      </c>
      <c r="DA13" s="271">
        <f t="shared" ref="DA13" si="64">SUM(DA6:DA12)</f>
        <v>0</v>
      </c>
      <c r="DB13" s="271">
        <f>SUM(DB6:DB12)</f>
        <v>1706</v>
      </c>
      <c r="DC13" s="271">
        <f>SUM(DC6:DC12)</f>
        <v>90</v>
      </c>
      <c r="DD13" s="271">
        <f t="shared" ref="DD13" si="65">SUM(DD6:DD12)</f>
        <v>166</v>
      </c>
      <c r="DE13" s="271">
        <f t="shared" ref="DE13" si="66">SUM(DE6:DE12)</f>
        <v>102</v>
      </c>
      <c r="DF13" s="271">
        <f t="shared" ref="DF13" si="67">SUM(DF6:DF12)</f>
        <v>186</v>
      </c>
      <c r="DG13" s="271">
        <f t="shared" ref="DG13" si="68">SUM(DG6:DG12)</f>
        <v>211</v>
      </c>
      <c r="DH13" s="271">
        <f t="shared" ref="DH13" si="69">SUM(DH6:DH12)</f>
        <v>0</v>
      </c>
      <c r="DI13" s="271">
        <f t="shared" ref="DI13" si="70">SUM(DI6:DI12)</f>
        <v>0</v>
      </c>
      <c r="DJ13" s="271">
        <f t="shared" ref="DJ13" si="71">SUM(DJ6:DJ12)</f>
        <v>0</v>
      </c>
      <c r="DK13" s="271">
        <f t="shared" ref="DK13" si="72">SUM(DK6:DK12)</f>
        <v>0</v>
      </c>
      <c r="DL13" s="271">
        <f t="shared" ref="DL13" si="73">SUM(DL6:DL12)</f>
        <v>0</v>
      </c>
      <c r="DM13" s="271">
        <f t="shared" ref="DM13" si="74">SUM(DM6:DM12)</f>
        <v>0</v>
      </c>
      <c r="DN13" s="271">
        <f t="shared" ref="DN13" si="75">SUM(DN6:DN12)</f>
        <v>0</v>
      </c>
      <c r="DO13" s="271">
        <f>SUM(DO6:DO12)</f>
        <v>755</v>
      </c>
      <c r="DP13" s="258"/>
    </row>
    <row r="14" spans="2:214" s="260" customFormat="1" ht="12" x14ac:dyDescent="0.2">
      <c r="C14" s="272"/>
      <c r="D14" s="272"/>
      <c r="E14" s="273"/>
      <c r="F14" s="273"/>
      <c r="G14" s="273"/>
      <c r="H14" s="273"/>
      <c r="I14" s="273"/>
      <c r="J14" s="273"/>
      <c r="K14" s="273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73"/>
      <c r="AM14" s="273"/>
      <c r="AN14" s="273"/>
      <c r="AO14" s="273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73"/>
      <c r="BA14" s="273"/>
      <c r="BB14" s="273"/>
      <c r="BC14" s="273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73"/>
      <c r="BO14" s="273"/>
      <c r="BP14" s="273"/>
      <c r="BQ14" s="273"/>
      <c r="BR14" s="258"/>
      <c r="BS14" s="258"/>
      <c r="BT14" s="258"/>
      <c r="BU14" s="258"/>
      <c r="BV14" s="258"/>
      <c r="BW14" s="258"/>
      <c r="BX14" s="258"/>
      <c r="BY14" s="258"/>
      <c r="BZ14" s="258"/>
      <c r="CB14" s="273"/>
      <c r="CC14" s="273"/>
      <c r="CD14" s="273"/>
      <c r="CE14" s="273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73"/>
      <c r="CQ14" s="273"/>
      <c r="CR14" s="273"/>
      <c r="CS14" s="273"/>
      <c r="CT14" s="258"/>
      <c r="CU14" s="258"/>
      <c r="CV14" s="258"/>
      <c r="CW14" s="258"/>
      <c r="CX14" s="258"/>
      <c r="CY14" s="258"/>
      <c r="CZ14" s="258"/>
      <c r="DA14" s="258"/>
      <c r="DB14" s="258"/>
      <c r="DC14" s="273"/>
      <c r="DD14" s="273"/>
      <c r="DE14" s="273"/>
      <c r="DF14" s="273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</row>
    <row r="15" spans="2:214" s="257" customFormat="1" ht="12" x14ac:dyDescent="0.2"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</row>
    <row r="16" spans="2:214" s="257" customFormat="1" ht="12" x14ac:dyDescent="0.2"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</row>
    <row r="17" spans="5:120" s="257" customFormat="1" ht="12" x14ac:dyDescent="0.2"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</row>
    <row r="18" spans="5:120" s="257" customFormat="1" ht="12" x14ac:dyDescent="0.2"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</row>
    <row r="19" spans="5:120" s="257" customFormat="1" ht="12" x14ac:dyDescent="0.2"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</row>
    <row r="20" spans="5:120" s="257" customFormat="1" ht="12" x14ac:dyDescent="0.2"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</row>
    <row r="21" spans="5:120" s="257" customFormat="1" ht="12" x14ac:dyDescent="0.2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</row>
    <row r="22" spans="5:120" s="257" customFormat="1" ht="12" x14ac:dyDescent="0.2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</row>
    <row r="23" spans="5:120" s="257" customFormat="1" ht="12" x14ac:dyDescent="0.2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</row>
    <row r="24" spans="5:120" s="257" customFormat="1" ht="12" x14ac:dyDescent="0.2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</row>
    <row r="25" spans="5:120" s="257" customFormat="1" ht="12" x14ac:dyDescent="0.2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</row>
    <row r="26" spans="5:120" s="257" customFormat="1" ht="12" x14ac:dyDescent="0.2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</row>
    <row r="27" spans="5:120" s="257" customFormat="1" ht="12" x14ac:dyDescent="0.2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</row>
    <row r="28" spans="5:120" s="257" customFormat="1" ht="12" x14ac:dyDescent="0.2"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</row>
    <row r="29" spans="5:120" s="257" customFormat="1" ht="12" x14ac:dyDescent="0.2"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</row>
    <row r="30" spans="5:120" s="257" customFormat="1" ht="12" x14ac:dyDescent="0.2"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</row>
    <row r="31" spans="5:120" s="257" customFormat="1" ht="12" x14ac:dyDescent="0.2"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</row>
    <row r="32" spans="5:120" s="257" customFormat="1" ht="12" x14ac:dyDescent="0.2"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</row>
    <row r="33" spans="5:120" s="257" customFormat="1" ht="12" x14ac:dyDescent="0.2"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</row>
    <row r="34" spans="5:120" s="257" customFormat="1" ht="12" x14ac:dyDescent="0.2"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</row>
    <row r="35" spans="5:120" s="257" customFormat="1" ht="12" x14ac:dyDescent="0.2"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</row>
    <row r="36" spans="5:120" s="257" customFormat="1" ht="12" x14ac:dyDescent="0.2"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</row>
    <row r="37" spans="5:120" s="257" customFormat="1" ht="12" x14ac:dyDescent="0.2"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</row>
    <row r="38" spans="5:120" s="257" customFormat="1" ht="12" x14ac:dyDescent="0.2"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</row>
    <row r="39" spans="5:120" s="257" customFormat="1" ht="12" x14ac:dyDescent="0.2"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</row>
    <row r="40" spans="5:120" s="257" customFormat="1" ht="12" x14ac:dyDescent="0.2"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</row>
    <row r="41" spans="5:120" s="257" customFormat="1" ht="12" x14ac:dyDescent="0.2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</row>
    <row r="42" spans="5:120" s="257" customFormat="1" ht="12" x14ac:dyDescent="0.2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</row>
    <row r="43" spans="5:120" s="257" customFormat="1" ht="12" x14ac:dyDescent="0.2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258"/>
      <c r="DL43" s="258"/>
      <c r="DM43" s="258"/>
      <c r="DN43" s="258"/>
      <c r="DO43" s="258"/>
      <c r="DP43" s="258"/>
    </row>
    <row r="44" spans="5:120" s="257" customFormat="1" ht="12" x14ac:dyDescent="0.2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258"/>
      <c r="DL44" s="258"/>
      <c r="DM44" s="258"/>
      <c r="DN44" s="258"/>
      <c r="DO44" s="258"/>
      <c r="DP44" s="258"/>
    </row>
    <row r="45" spans="5:120" s="257" customFormat="1" ht="12" x14ac:dyDescent="0.2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8"/>
      <c r="DN45" s="258"/>
      <c r="DO45" s="258"/>
      <c r="DP45" s="258"/>
    </row>
    <row r="46" spans="5:120" s="257" customFormat="1" ht="12" x14ac:dyDescent="0.2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8"/>
      <c r="DN46" s="258"/>
      <c r="DO46" s="258"/>
      <c r="DP46" s="258"/>
    </row>
    <row r="47" spans="5:120" s="257" customFormat="1" ht="12" x14ac:dyDescent="0.2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258"/>
      <c r="DL47" s="258"/>
      <c r="DM47" s="258"/>
      <c r="DN47" s="258"/>
      <c r="DO47" s="258"/>
      <c r="DP47" s="258"/>
    </row>
    <row r="48" spans="5:120" s="257" customFormat="1" ht="12" x14ac:dyDescent="0.2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258"/>
      <c r="DL48" s="258"/>
      <c r="DM48" s="258"/>
      <c r="DN48" s="258"/>
      <c r="DO48" s="258"/>
      <c r="DP48" s="258"/>
    </row>
    <row r="49" spans="5:120" s="257" customFormat="1" ht="12" x14ac:dyDescent="0.2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258"/>
      <c r="DL49" s="258"/>
      <c r="DM49" s="258"/>
      <c r="DN49" s="258"/>
      <c r="DO49" s="258"/>
      <c r="DP49" s="258"/>
    </row>
    <row r="50" spans="5:120" s="257" customFormat="1" ht="12" x14ac:dyDescent="0.2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8"/>
      <c r="DL50" s="258"/>
      <c r="DM50" s="258"/>
      <c r="DN50" s="258"/>
      <c r="DO50" s="258"/>
      <c r="DP50" s="258"/>
    </row>
    <row r="51" spans="5:120" s="257" customFormat="1" ht="12" x14ac:dyDescent="0.2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8"/>
      <c r="DN51" s="258"/>
      <c r="DO51" s="258"/>
      <c r="DP51" s="258"/>
    </row>
    <row r="52" spans="5:120" s="257" customFormat="1" ht="12" x14ac:dyDescent="0.2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58"/>
      <c r="DD52" s="258"/>
      <c r="DE52" s="258"/>
      <c r="DF52" s="258"/>
      <c r="DG52" s="258"/>
      <c r="DH52" s="258"/>
      <c r="DI52" s="258"/>
      <c r="DJ52" s="258"/>
      <c r="DK52" s="258"/>
      <c r="DL52" s="258"/>
      <c r="DM52" s="258"/>
      <c r="DN52" s="258"/>
      <c r="DO52" s="258"/>
      <c r="DP52" s="258"/>
    </row>
    <row r="53" spans="5:120" s="257" customFormat="1" ht="12" x14ac:dyDescent="0.2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58"/>
      <c r="DD53" s="258"/>
      <c r="DE53" s="258"/>
      <c r="DF53" s="258"/>
      <c r="DG53" s="258"/>
      <c r="DH53" s="258"/>
      <c r="DI53" s="258"/>
      <c r="DJ53" s="258"/>
      <c r="DK53" s="258"/>
      <c r="DL53" s="258"/>
      <c r="DM53" s="258"/>
      <c r="DN53" s="258"/>
      <c r="DO53" s="258"/>
      <c r="DP53" s="258"/>
    </row>
    <row r="54" spans="5:120" s="257" customFormat="1" ht="12" x14ac:dyDescent="0.2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58"/>
      <c r="DD54" s="258"/>
      <c r="DE54" s="258"/>
      <c r="DF54" s="258"/>
      <c r="DG54" s="258"/>
      <c r="DH54" s="258"/>
      <c r="DI54" s="258"/>
      <c r="DJ54" s="258"/>
      <c r="DK54" s="258"/>
      <c r="DL54" s="258"/>
      <c r="DM54" s="258"/>
      <c r="DN54" s="258"/>
      <c r="DO54" s="258"/>
      <c r="DP54" s="258"/>
    </row>
    <row r="55" spans="5:120" s="257" customFormat="1" ht="12" x14ac:dyDescent="0.2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  <c r="DD55" s="258"/>
      <c r="DE55" s="258"/>
      <c r="DF55" s="258"/>
      <c r="DG55" s="258"/>
      <c r="DH55" s="258"/>
      <c r="DI55" s="258"/>
      <c r="DJ55" s="258"/>
      <c r="DK55" s="258"/>
      <c r="DL55" s="258"/>
      <c r="DM55" s="258"/>
      <c r="DN55" s="258"/>
      <c r="DO55" s="258"/>
      <c r="DP55" s="258"/>
    </row>
    <row r="56" spans="5:120" s="257" customFormat="1" ht="12" x14ac:dyDescent="0.2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58"/>
      <c r="DD56" s="258"/>
      <c r="DE56" s="258"/>
      <c r="DF56" s="258"/>
      <c r="DG56" s="258"/>
      <c r="DH56" s="258"/>
      <c r="DI56" s="258"/>
      <c r="DJ56" s="258"/>
      <c r="DK56" s="258"/>
      <c r="DL56" s="258"/>
      <c r="DM56" s="258"/>
      <c r="DN56" s="258"/>
      <c r="DO56" s="258"/>
      <c r="DP56" s="258"/>
    </row>
    <row r="57" spans="5:120" s="257" customFormat="1" ht="12" x14ac:dyDescent="0.2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</row>
    <row r="58" spans="5:120" s="257" customFormat="1" ht="12" x14ac:dyDescent="0.2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</row>
    <row r="59" spans="5:120" s="257" customFormat="1" ht="12" x14ac:dyDescent="0.2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B59" s="258"/>
      <c r="CC59" s="258"/>
      <c r="CD59" s="258"/>
      <c r="CE59" s="258"/>
      <c r="CF59" s="258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58"/>
      <c r="DA59" s="258"/>
      <c r="DB59" s="258"/>
      <c r="DC59" s="258"/>
      <c r="DD59" s="258"/>
      <c r="DE59" s="258"/>
      <c r="DF59" s="258"/>
      <c r="DG59" s="258"/>
      <c r="DH59" s="258"/>
      <c r="DI59" s="258"/>
      <c r="DJ59" s="258"/>
      <c r="DK59" s="258"/>
      <c r="DL59" s="258"/>
      <c r="DM59" s="258"/>
      <c r="DN59" s="258"/>
      <c r="DO59" s="258"/>
      <c r="DP59" s="258"/>
    </row>
    <row r="60" spans="5:120" s="257" customFormat="1" ht="12" x14ac:dyDescent="0.2"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258"/>
      <c r="DL60" s="258"/>
      <c r="DM60" s="258"/>
      <c r="DN60" s="258"/>
      <c r="DO60" s="258"/>
      <c r="DP60" s="258"/>
    </row>
    <row r="61" spans="5:120" s="257" customFormat="1" ht="12" x14ac:dyDescent="0.2"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B61" s="258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58"/>
      <c r="DA61" s="258"/>
      <c r="DB61" s="258"/>
      <c r="DC61" s="258"/>
      <c r="DD61" s="258"/>
      <c r="DE61" s="258"/>
      <c r="DF61" s="258"/>
      <c r="DG61" s="258"/>
      <c r="DH61" s="258"/>
      <c r="DI61" s="258"/>
      <c r="DJ61" s="258"/>
      <c r="DK61" s="258"/>
      <c r="DL61" s="258"/>
      <c r="DM61" s="258"/>
      <c r="DN61" s="258"/>
      <c r="DO61" s="258"/>
      <c r="DP61" s="258"/>
    </row>
    <row r="62" spans="5:120" s="257" customFormat="1" ht="12" x14ac:dyDescent="0.2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B62" s="258"/>
      <c r="CC62" s="258"/>
      <c r="CD62" s="258"/>
      <c r="CE62" s="258"/>
      <c r="CF62" s="258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58"/>
      <c r="DD62" s="258"/>
      <c r="DE62" s="258"/>
      <c r="DF62" s="258"/>
      <c r="DG62" s="258"/>
      <c r="DH62" s="258"/>
      <c r="DI62" s="258"/>
      <c r="DJ62" s="258"/>
      <c r="DK62" s="258"/>
      <c r="DL62" s="258"/>
      <c r="DM62" s="258"/>
      <c r="DN62" s="258"/>
      <c r="DO62" s="258"/>
      <c r="DP62" s="258"/>
    </row>
    <row r="63" spans="5:120" s="257" customFormat="1" ht="12" x14ac:dyDescent="0.2"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58"/>
      <c r="DD63" s="258"/>
      <c r="DE63" s="258"/>
      <c r="DF63" s="258"/>
      <c r="DG63" s="258"/>
      <c r="DH63" s="258"/>
      <c r="DI63" s="258"/>
      <c r="DJ63" s="258"/>
      <c r="DK63" s="258"/>
      <c r="DL63" s="258"/>
      <c r="DM63" s="258"/>
      <c r="DN63" s="258"/>
      <c r="DO63" s="258"/>
      <c r="DP63" s="258"/>
    </row>
    <row r="64" spans="5:120" s="257" customFormat="1" ht="12" x14ac:dyDescent="0.2"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58"/>
      <c r="DD64" s="258"/>
      <c r="DE64" s="258"/>
      <c r="DF64" s="258"/>
      <c r="DG64" s="258"/>
      <c r="DH64" s="258"/>
      <c r="DI64" s="258"/>
      <c r="DJ64" s="258"/>
      <c r="DK64" s="258"/>
      <c r="DL64" s="258"/>
      <c r="DM64" s="258"/>
      <c r="DN64" s="258"/>
      <c r="DO64" s="258"/>
      <c r="DP64" s="258"/>
    </row>
    <row r="65" spans="5:120" s="257" customFormat="1" ht="12" x14ac:dyDescent="0.2"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58"/>
      <c r="DD65" s="258"/>
      <c r="DE65" s="258"/>
      <c r="DF65" s="258"/>
      <c r="DG65" s="258"/>
      <c r="DH65" s="258"/>
      <c r="DI65" s="258"/>
      <c r="DJ65" s="258"/>
      <c r="DK65" s="258"/>
      <c r="DL65" s="258"/>
      <c r="DM65" s="258"/>
      <c r="DN65" s="258"/>
      <c r="DO65" s="258"/>
      <c r="DP65" s="258"/>
    </row>
    <row r="66" spans="5:120" s="257" customFormat="1" ht="12" x14ac:dyDescent="0.2"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B66" s="258"/>
      <c r="CC66" s="258"/>
      <c r="CD66" s="258"/>
      <c r="CE66" s="258"/>
      <c r="CF66" s="258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58"/>
      <c r="DD66" s="258"/>
      <c r="DE66" s="258"/>
      <c r="DF66" s="258"/>
      <c r="DG66" s="258"/>
      <c r="DH66" s="258"/>
      <c r="DI66" s="258"/>
      <c r="DJ66" s="258"/>
      <c r="DK66" s="258"/>
      <c r="DL66" s="258"/>
      <c r="DM66" s="258"/>
      <c r="DN66" s="258"/>
      <c r="DO66" s="258"/>
      <c r="DP66" s="258"/>
    </row>
    <row r="67" spans="5:120" s="257" customFormat="1" ht="12" x14ac:dyDescent="0.2"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58"/>
      <c r="DD67" s="258"/>
      <c r="DE67" s="258"/>
      <c r="DF67" s="258"/>
      <c r="DG67" s="258"/>
      <c r="DH67" s="258"/>
      <c r="DI67" s="258"/>
      <c r="DJ67" s="258"/>
      <c r="DK67" s="258"/>
      <c r="DL67" s="258"/>
      <c r="DM67" s="258"/>
      <c r="DN67" s="258"/>
      <c r="DO67" s="258"/>
      <c r="DP67" s="258"/>
    </row>
    <row r="68" spans="5:120" s="257" customFormat="1" ht="12" x14ac:dyDescent="0.2"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B68" s="258"/>
      <c r="CC68" s="258"/>
      <c r="CD68" s="258"/>
      <c r="CE68" s="258"/>
      <c r="CF68" s="258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58"/>
      <c r="DD68" s="258"/>
      <c r="DE68" s="258"/>
      <c r="DF68" s="258"/>
      <c r="DG68" s="258"/>
      <c r="DH68" s="258"/>
      <c r="DI68" s="258"/>
      <c r="DJ68" s="258"/>
      <c r="DK68" s="258"/>
      <c r="DL68" s="258"/>
      <c r="DM68" s="258"/>
      <c r="DN68" s="258"/>
      <c r="DO68" s="258"/>
      <c r="DP68" s="258"/>
    </row>
    <row r="69" spans="5:120" s="257" customFormat="1" ht="12" x14ac:dyDescent="0.2"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58"/>
      <c r="DD69" s="258"/>
      <c r="DE69" s="258"/>
      <c r="DF69" s="258"/>
      <c r="DG69" s="258"/>
      <c r="DH69" s="258"/>
      <c r="DI69" s="258"/>
      <c r="DJ69" s="258"/>
      <c r="DK69" s="258"/>
      <c r="DL69" s="258"/>
      <c r="DM69" s="258"/>
      <c r="DN69" s="258"/>
      <c r="DO69" s="258"/>
      <c r="DP69" s="258"/>
    </row>
    <row r="70" spans="5:120" s="257" customFormat="1" ht="12" x14ac:dyDescent="0.2"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B70" s="258"/>
      <c r="CC70" s="258"/>
      <c r="CD70" s="258"/>
      <c r="CE70" s="258"/>
      <c r="CF70" s="258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58"/>
      <c r="DD70" s="258"/>
      <c r="DE70" s="258"/>
      <c r="DF70" s="258"/>
      <c r="DG70" s="258"/>
      <c r="DH70" s="258"/>
      <c r="DI70" s="258"/>
      <c r="DJ70" s="258"/>
      <c r="DK70" s="258"/>
      <c r="DL70" s="258"/>
      <c r="DM70" s="258"/>
      <c r="DN70" s="258"/>
      <c r="DO70" s="258"/>
      <c r="DP70" s="258"/>
    </row>
    <row r="71" spans="5:120" s="257" customFormat="1" ht="12" x14ac:dyDescent="0.2"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58"/>
      <c r="DA71" s="258"/>
      <c r="DB71" s="258"/>
      <c r="DC71" s="258"/>
      <c r="DD71" s="258"/>
      <c r="DE71" s="258"/>
      <c r="DF71" s="258"/>
      <c r="DG71" s="258"/>
      <c r="DH71" s="258"/>
      <c r="DI71" s="258"/>
      <c r="DJ71" s="258"/>
      <c r="DK71" s="258"/>
      <c r="DL71" s="258"/>
      <c r="DM71" s="258"/>
      <c r="DN71" s="258"/>
      <c r="DO71" s="258"/>
      <c r="DP71" s="258"/>
    </row>
    <row r="72" spans="5:120" s="257" customFormat="1" ht="12" x14ac:dyDescent="0.2"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58"/>
      <c r="DD72" s="258"/>
      <c r="DE72" s="258"/>
      <c r="DF72" s="258"/>
      <c r="DG72" s="258"/>
      <c r="DH72" s="258"/>
      <c r="DI72" s="258"/>
      <c r="DJ72" s="258"/>
      <c r="DK72" s="258"/>
      <c r="DL72" s="258"/>
      <c r="DM72" s="258"/>
      <c r="DN72" s="258"/>
      <c r="DO72" s="258"/>
      <c r="DP72" s="258"/>
    </row>
    <row r="73" spans="5:120" s="257" customFormat="1" ht="12" x14ac:dyDescent="0.2"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58"/>
      <c r="DA73" s="258"/>
      <c r="DB73" s="258"/>
      <c r="DC73" s="258"/>
      <c r="DD73" s="258"/>
      <c r="DE73" s="258"/>
      <c r="DF73" s="258"/>
      <c r="DG73" s="258"/>
      <c r="DH73" s="258"/>
      <c r="DI73" s="258"/>
      <c r="DJ73" s="258"/>
      <c r="DK73" s="258"/>
      <c r="DL73" s="258"/>
      <c r="DM73" s="258"/>
      <c r="DN73" s="258"/>
      <c r="DO73" s="258"/>
      <c r="DP73" s="258"/>
    </row>
    <row r="74" spans="5:120" s="257" customFormat="1" ht="12" x14ac:dyDescent="0.2"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58"/>
      <c r="DD74" s="258"/>
      <c r="DE74" s="258"/>
      <c r="DF74" s="258"/>
      <c r="DG74" s="258"/>
      <c r="DH74" s="258"/>
      <c r="DI74" s="258"/>
      <c r="DJ74" s="258"/>
      <c r="DK74" s="258"/>
      <c r="DL74" s="258"/>
      <c r="DM74" s="258"/>
      <c r="DN74" s="258"/>
      <c r="DO74" s="258"/>
      <c r="DP74" s="258"/>
    </row>
    <row r="75" spans="5:120" s="257" customFormat="1" ht="12" x14ac:dyDescent="0.2"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58"/>
      <c r="DD75" s="258"/>
      <c r="DE75" s="258"/>
      <c r="DF75" s="258"/>
      <c r="DG75" s="258"/>
      <c r="DH75" s="258"/>
      <c r="DI75" s="258"/>
      <c r="DJ75" s="258"/>
      <c r="DK75" s="258"/>
      <c r="DL75" s="258"/>
      <c r="DM75" s="258"/>
      <c r="DN75" s="258"/>
      <c r="DO75" s="258"/>
      <c r="DP75" s="258"/>
    </row>
    <row r="76" spans="5:120" s="257" customFormat="1" ht="12" x14ac:dyDescent="0.2"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58"/>
      <c r="DD76" s="258"/>
      <c r="DE76" s="258"/>
      <c r="DF76" s="258"/>
      <c r="DG76" s="258"/>
      <c r="DH76" s="258"/>
      <c r="DI76" s="258"/>
      <c r="DJ76" s="258"/>
      <c r="DK76" s="258"/>
      <c r="DL76" s="258"/>
      <c r="DM76" s="258"/>
      <c r="DN76" s="258"/>
      <c r="DO76" s="258"/>
      <c r="DP76" s="258"/>
    </row>
    <row r="77" spans="5:120" s="257" customFormat="1" ht="12" x14ac:dyDescent="0.2"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58"/>
      <c r="DD77" s="258"/>
      <c r="DE77" s="258"/>
      <c r="DF77" s="258"/>
      <c r="DG77" s="258"/>
      <c r="DH77" s="258"/>
      <c r="DI77" s="258"/>
      <c r="DJ77" s="258"/>
      <c r="DK77" s="258"/>
      <c r="DL77" s="258"/>
      <c r="DM77" s="258"/>
      <c r="DN77" s="258"/>
      <c r="DO77" s="258"/>
      <c r="DP77" s="258"/>
    </row>
    <row r="78" spans="5:120" s="257" customFormat="1" ht="12" x14ac:dyDescent="0.2"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58"/>
      <c r="DD78" s="258"/>
      <c r="DE78" s="258"/>
      <c r="DF78" s="258"/>
      <c r="DG78" s="258"/>
      <c r="DH78" s="258"/>
      <c r="DI78" s="258"/>
      <c r="DJ78" s="258"/>
      <c r="DK78" s="258"/>
      <c r="DL78" s="258"/>
      <c r="DM78" s="258"/>
      <c r="DN78" s="258"/>
      <c r="DO78" s="258"/>
      <c r="DP78" s="258"/>
    </row>
    <row r="79" spans="5:120" s="257" customFormat="1" ht="12" x14ac:dyDescent="0.2"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B79" s="258"/>
      <c r="CC79" s="258"/>
      <c r="CD79" s="258"/>
      <c r="CE79" s="258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58"/>
      <c r="DD79" s="258"/>
      <c r="DE79" s="258"/>
      <c r="DF79" s="258"/>
      <c r="DG79" s="258"/>
      <c r="DH79" s="258"/>
      <c r="DI79" s="258"/>
      <c r="DJ79" s="258"/>
      <c r="DK79" s="258"/>
      <c r="DL79" s="258"/>
      <c r="DM79" s="258"/>
      <c r="DN79" s="258"/>
      <c r="DO79" s="258"/>
      <c r="DP79" s="258"/>
    </row>
    <row r="80" spans="5:120" s="257" customFormat="1" ht="12" x14ac:dyDescent="0.2"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B80" s="258"/>
      <c r="CC80" s="258"/>
      <c r="CD80" s="258"/>
      <c r="CE80" s="258"/>
      <c r="CF80" s="258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58"/>
      <c r="DD80" s="258"/>
      <c r="DE80" s="258"/>
      <c r="DF80" s="258"/>
      <c r="DG80" s="258"/>
      <c r="DH80" s="258"/>
      <c r="DI80" s="258"/>
      <c r="DJ80" s="258"/>
      <c r="DK80" s="258"/>
      <c r="DL80" s="258"/>
      <c r="DM80" s="258"/>
      <c r="DN80" s="258"/>
      <c r="DO80" s="258"/>
      <c r="DP80" s="258"/>
    </row>
    <row r="81" spans="2:215" s="257" customFormat="1" ht="12" x14ac:dyDescent="0.2"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  <c r="CU81" s="258"/>
      <c r="CV81" s="258"/>
      <c r="CW81" s="258"/>
      <c r="CX81" s="258"/>
      <c r="CY81" s="258"/>
      <c r="CZ81" s="258"/>
      <c r="DA81" s="258"/>
      <c r="DB81" s="258"/>
      <c r="DC81" s="258"/>
      <c r="DD81" s="258"/>
      <c r="DE81" s="258"/>
      <c r="DF81" s="258"/>
      <c r="DG81" s="258"/>
      <c r="DH81" s="258"/>
      <c r="DI81" s="258"/>
      <c r="DJ81" s="258"/>
      <c r="DK81" s="258"/>
      <c r="DL81" s="258"/>
      <c r="DM81" s="258"/>
      <c r="DN81" s="258"/>
      <c r="DO81" s="258"/>
      <c r="DP81" s="258"/>
    </row>
    <row r="82" spans="2:215" s="257" customFormat="1" ht="12" x14ac:dyDescent="0.2"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B82" s="258"/>
      <c r="CC82" s="258"/>
      <c r="CD82" s="258"/>
      <c r="CE82" s="258"/>
      <c r="CF82" s="258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58"/>
      <c r="DB82" s="258"/>
      <c r="DC82" s="258"/>
      <c r="DD82" s="258"/>
      <c r="DE82" s="258"/>
      <c r="DF82" s="258"/>
      <c r="DG82" s="258"/>
      <c r="DH82" s="258"/>
      <c r="DI82" s="258"/>
      <c r="DJ82" s="258"/>
      <c r="DK82" s="258"/>
      <c r="DL82" s="258"/>
      <c r="DM82" s="258"/>
      <c r="DN82" s="258"/>
      <c r="DO82" s="258"/>
      <c r="DP82" s="258"/>
    </row>
    <row r="83" spans="2:215" s="257" customFormat="1" ht="12" x14ac:dyDescent="0.2"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B83" s="258"/>
      <c r="CC83" s="258"/>
      <c r="CD83" s="258"/>
      <c r="CE83" s="258"/>
      <c r="CF83" s="258"/>
      <c r="CG83" s="258"/>
      <c r="CH83" s="258"/>
      <c r="CI83" s="258"/>
      <c r="CJ83" s="258"/>
      <c r="CK83" s="258"/>
      <c r="CL83" s="258"/>
      <c r="CM83" s="258"/>
      <c r="CN83" s="258"/>
      <c r="CO83" s="258"/>
      <c r="CP83" s="258"/>
      <c r="CQ83" s="258"/>
      <c r="CR83" s="258"/>
      <c r="CS83" s="258"/>
      <c r="CT83" s="258"/>
      <c r="CU83" s="258"/>
      <c r="CV83" s="258"/>
      <c r="CW83" s="258"/>
      <c r="CX83" s="258"/>
      <c r="CY83" s="258"/>
      <c r="CZ83" s="258"/>
      <c r="DA83" s="258"/>
      <c r="DB83" s="258"/>
      <c r="DC83" s="258"/>
      <c r="DD83" s="258"/>
      <c r="DE83" s="258"/>
      <c r="DF83" s="258"/>
      <c r="DG83" s="258"/>
      <c r="DH83" s="258"/>
      <c r="DI83" s="258"/>
      <c r="DJ83" s="258"/>
      <c r="DK83" s="258"/>
      <c r="DL83" s="258"/>
      <c r="DM83" s="258"/>
      <c r="DN83" s="258"/>
      <c r="DO83" s="258"/>
      <c r="DP83" s="258"/>
    </row>
    <row r="84" spans="2:215" s="257" customFormat="1" ht="12" x14ac:dyDescent="0.2"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B84" s="258"/>
      <c r="CC84" s="258"/>
      <c r="CD84" s="258"/>
      <c r="CE84" s="258"/>
      <c r="CF84" s="258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  <c r="CU84" s="258"/>
      <c r="CV84" s="258"/>
      <c r="CW84" s="258"/>
      <c r="CX84" s="258"/>
      <c r="CY84" s="258"/>
      <c r="CZ84" s="258"/>
      <c r="DA84" s="258"/>
      <c r="DB84" s="258"/>
      <c r="DC84" s="258"/>
      <c r="DD84" s="258"/>
      <c r="DE84" s="258"/>
      <c r="DF84" s="258"/>
      <c r="DG84" s="258"/>
      <c r="DH84" s="258"/>
      <c r="DI84" s="258"/>
      <c r="DJ84" s="258"/>
      <c r="DK84" s="258"/>
      <c r="DL84" s="258"/>
      <c r="DM84" s="258"/>
      <c r="DN84" s="258"/>
      <c r="DO84" s="258"/>
      <c r="DP84" s="258"/>
    </row>
    <row r="85" spans="2:215" s="277" customFormat="1" ht="12" x14ac:dyDescent="0.2">
      <c r="B85" s="257"/>
      <c r="C85" s="257"/>
      <c r="D85" s="257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  <c r="CU85" s="258"/>
      <c r="CV85" s="258"/>
      <c r="CW85" s="258"/>
      <c r="CX85" s="258"/>
      <c r="CY85" s="258"/>
      <c r="CZ85" s="258"/>
      <c r="DA85" s="258"/>
      <c r="DB85" s="258"/>
      <c r="DC85" s="258"/>
      <c r="DD85" s="258"/>
      <c r="DE85" s="258"/>
      <c r="DF85" s="258"/>
      <c r="DG85" s="258"/>
      <c r="DH85" s="258"/>
      <c r="DI85" s="258"/>
      <c r="DJ85" s="258"/>
      <c r="DK85" s="258"/>
      <c r="DL85" s="258"/>
      <c r="DM85" s="258"/>
      <c r="DN85" s="258"/>
      <c r="DO85" s="258"/>
      <c r="DP85" s="258"/>
      <c r="HF85" s="257"/>
      <c r="HG85" s="257"/>
    </row>
    <row r="86" spans="2:215" s="277" customFormat="1" ht="12" x14ac:dyDescent="0.2">
      <c r="B86" s="257"/>
      <c r="C86" s="257"/>
      <c r="D86" s="257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B86" s="258"/>
      <c r="CC86" s="258"/>
      <c r="CD86" s="258"/>
      <c r="CE86" s="258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258"/>
      <c r="DC86" s="258"/>
      <c r="DD86" s="258"/>
      <c r="DE86" s="258"/>
      <c r="DF86" s="258"/>
      <c r="DG86" s="258"/>
      <c r="DH86" s="258"/>
      <c r="DI86" s="258"/>
      <c r="DJ86" s="258"/>
      <c r="DK86" s="258"/>
      <c r="DL86" s="258"/>
      <c r="DM86" s="258"/>
      <c r="DN86" s="258"/>
      <c r="DO86" s="258"/>
      <c r="DP86" s="258"/>
      <c r="HF86" s="257"/>
      <c r="HG86" s="257"/>
    </row>
    <row r="87" spans="2:215" s="277" customFormat="1" ht="12" x14ac:dyDescent="0.2">
      <c r="B87" s="257"/>
      <c r="C87" s="257"/>
      <c r="D87" s="257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B87" s="258"/>
      <c r="CC87" s="258"/>
      <c r="CD87" s="258"/>
      <c r="CE87" s="258"/>
      <c r="CF87" s="258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258"/>
      <c r="CV87" s="258"/>
      <c r="CW87" s="258"/>
      <c r="CX87" s="258"/>
      <c r="CY87" s="258"/>
      <c r="CZ87" s="258"/>
      <c r="DA87" s="258"/>
      <c r="DB87" s="258"/>
      <c r="DC87" s="258"/>
      <c r="DD87" s="258"/>
      <c r="DE87" s="258"/>
      <c r="DF87" s="258"/>
      <c r="DG87" s="258"/>
      <c r="DH87" s="258"/>
      <c r="DI87" s="258"/>
      <c r="DJ87" s="258"/>
      <c r="DK87" s="258"/>
      <c r="DL87" s="258"/>
      <c r="DM87" s="258"/>
      <c r="DN87" s="258"/>
      <c r="DO87" s="258"/>
      <c r="DP87" s="258"/>
      <c r="HF87" s="257"/>
      <c r="HG87" s="257"/>
    </row>
    <row r="88" spans="2:215" s="277" customFormat="1" ht="12" x14ac:dyDescent="0.2">
      <c r="B88" s="257"/>
      <c r="C88" s="257"/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B88" s="258"/>
      <c r="CC88" s="258"/>
      <c r="CD88" s="258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58"/>
      <c r="DD88" s="258"/>
      <c r="DE88" s="258"/>
      <c r="DF88" s="258"/>
      <c r="DG88" s="258"/>
      <c r="DH88" s="258"/>
      <c r="DI88" s="258"/>
      <c r="DJ88" s="258"/>
      <c r="DK88" s="258"/>
      <c r="DL88" s="258"/>
      <c r="DM88" s="258"/>
      <c r="DN88" s="258"/>
      <c r="DO88" s="258"/>
      <c r="DP88" s="258"/>
      <c r="HF88" s="257"/>
      <c r="HG88" s="257"/>
    </row>
    <row r="89" spans="2:215" s="277" customFormat="1" ht="12" x14ac:dyDescent="0.2">
      <c r="B89" s="257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B89" s="258"/>
      <c r="CC89" s="258"/>
      <c r="CD89" s="258"/>
      <c r="CE89" s="258"/>
      <c r="CF89" s="258"/>
      <c r="CG89" s="258"/>
      <c r="CH89" s="258"/>
      <c r="CI89" s="258"/>
      <c r="CJ89" s="258"/>
      <c r="CK89" s="258"/>
      <c r="CL89" s="258"/>
      <c r="CM89" s="258"/>
      <c r="CN89" s="258"/>
      <c r="CO89" s="258"/>
      <c r="CP89" s="258"/>
      <c r="CQ89" s="258"/>
      <c r="CR89" s="258"/>
      <c r="CS89" s="258"/>
      <c r="CT89" s="258"/>
      <c r="CU89" s="258"/>
      <c r="CV89" s="258"/>
      <c r="CW89" s="258"/>
      <c r="CX89" s="258"/>
      <c r="CY89" s="258"/>
      <c r="CZ89" s="258"/>
      <c r="DA89" s="258"/>
      <c r="DB89" s="258"/>
      <c r="DC89" s="258"/>
      <c r="DD89" s="258"/>
      <c r="DE89" s="258"/>
      <c r="DF89" s="258"/>
      <c r="DG89" s="258"/>
      <c r="DH89" s="258"/>
      <c r="DI89" s="258"/>
      <c r="DJ89" s="258"/>
      <c r="DK89" s="258"/>
      <c r="DL89" s="258"/>
      <c r="DM89" s="258"/>
      <c r="DN89" s="258"/>
      <c r="DO89" s="258"/>
      <c r="DP89" s="258"/>
      <c r="HF89" s="257"/>
      <c r="HG89" s="257"/>
    </row>
    <row r="90" spans="2:215" x14ac:dyDescent="0.2"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B90" s="257"/>
      <c r="CC90" s="257"/>
      <c r="CD90" s="257"/>
      <c r="CE90" s="257"/>
      <c r="CF90" s="257"/>
      <c r="CG90" s="257"/>
      <c r="CH90" s="257"/>
      <c r="CI90" s="257"/>
      <c r="CJ90" s="257"/>
      <c r="CK90" s="257"/>
      <c r="CL90" s="257"/>
      <c r="CM90" s="257"/>
      <c r="CN90" s="257"/>
      <c r="CO90" s="257"/>
      <c r="CP90" s="257"/>
      <c r="CQ90" s="257"/>
      <c r="CR90" s="257"/>
      <c r="CS90" s="257"/>
      <c r="CT90" s="257"/>
      <c r="CU90" s="257"/>
      <c r="CV90" s="257"/>
      <c r="CW90" s="257"/>
      <c r="CX90" s="257"/>
      <c r="CY90" s="257"/>
      <c r="CZ90" s="257"/>
      <c r="DA90" s="257"/>
      <c r="DB90" s="257"/>
      <c r="DC90" s="257"/>
      <c r="DD90" s="257"/>
      <c r="DE90" s="257"/>
      <c r="DF90" s="257"/>
      <c r="DG90" s="257"/>
      <c r="DH90" s="257"/>
      <c r="DI90" s="257"/>
      <c r="DJ90" s="257"/>
      <c r="DK90" s="257"/>
      <c r="DL90" s="257"/>
      <c r="DM90" s="257"/>
      <c r="DN90" s="257"/>
      <c r="DO90" s="257"/>
      <c r="HF90" s="277"/>
      <c r="HG90" s="277"/>
    </row>
    <row r="91" spans="2:215" x14ac:dyDescent="0.2"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7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HF91" s="277"/>
      <c r="HG91" s="277"/>
    </row>
    <row r="92" spans="2:215" x14ac:dyDescent="0.2"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7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HF92" s="277"/>
      <c r="HG92" s="277"/>
    </row>
    <row r="93" spans="2:215" x14ac:dyDescent="0.2"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7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HF93" s="277"/>
      <c r="HG93" s="277"/>
    </row>
    <row r="94" spans="2:215" x14ac:dyDescent="0.2"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7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HF94" s="277"/>
      <c r="HG94" s="277"/>
    </row>
    <row r="95" spans="2:215" x14ac:dyDescent="0.2"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7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DQ6" sqref="DQ6:DQ12"/>
    </sheetView>
  </sheetViews>
  <sheetFormatPr baseColWidth="10" defaultColWidth="0" defaultRowHeight="12.75" x14ac:dyDescent="0.2"/>
  <cols>
    <col min="1" max="1" width="2" style="250" customWidth="1"/>
    <col min="2" max="2" width="7.140625" style="250" customWidth="1"/>
    <col min="3" max="3" width="29.28515625" style="250" customWidth="1"/>
    <col min="4" max="4" width="1.28515625" style="250" bestFit="1" customWidth="1"/>
    <col min="5" max="5" width="6.140625" style="251" customWidth="1"/>
    <col min="6" max="7" width="6.140625" style="251" bestFit="1" customWidth="1"/>
    <col min="8" max="9" width="6.7109375" style="251" customWidth="1"/>
    <col min="10" max="10" width="6.42578125" style="251" customWidth="1"/>
    <col min="11" max="11" width="5.5703125" style="251" bestFit="1" customWidth="1"/>
    <col min="12" max="12" width="6.85546875" style="251" customWidth="1"/>
    <col min="13" max="13" width="7.85546875" style="251" bestFit="1" customWidth="1"/>
    <col min="14" max="14" width="6.85546875" style="251" customWidth="1"/>
    <col min="15" max="15" width="5.85546875" style="251" customWidth="1"/>
    <col min="16" max="16" width="5" style="251" customWidth="1"/>
    <col min="17" max="17" width="8.28515625" style="251" customWidth="1"/>
    <col min="18" max="18" width="2.28515625" style="251" customWidth="1"/>
    <col min="19" max="25" width="6.140625" style="251" bestFit="1" customWidth="1"/>
    <col min="26" max="28" width="5.7109375" style="251" bestFit="1" customWidth="1"/>
    <col min="29" max="29" width="4.7109375" style="251" bestFit="1" customWidth="1"/>
    <col min="30" max="30" width="5.7109375" style="251" customWidth="1"/>
    <col min="31" max="31" width="8.42578125" style="251" customWidth="1"/>
    <col min="32" max="32" width="2" style="251" bestFit="1" customWidth="1"/>
    <col min="33" max="33" width="5.5703125" style="251" customWidth="1"/>
    <col min="34" max="36" width="5.140625" style="251" bestFit="1" customWidth="1"/>
    <col min="37" max="39" width="4.42578125" style="251" customWidth="1"/>
    <col min="40" max="41" width="4.7109375" style="251" bestFit="1" customWidth="1"/>
    <col min="42" max="43" width="4.42578125" style="251" customWidth="1"/>
    <col min="44" max="44" width="4.7109375" style="251" bestFit="1" customWidth="1"/>
    <col min="45" max="45" width="6.140625" style="251" bestFit="1" customWidth="1"/>
    <col min="46" max="46" width="2" style="251" bestFit="1" customWidth="1"/>
    <col min="47" max="53" width="5.140625" style="251" hidden="1" customWidth="1"/>
    <col min="54" max="58" width="4.85546875" style="251" hidden="1" customWidth="1"/>
    <col min="59" max="59" width="6.140625" style="251" hidden="1" customWidth="1"/>
    <col min="60" max="60" width="4.7109375" style="251" customWidth="1"/>
    <col min="61" max="67" width="5.140625" style="251" hidden="1" customWidth="1"/>
    <col min="68" max="72" width="4.85546875" style="251" hidden="1" customWidth="1"/>
    <col min="73" max="73" width="6.140625" style="251" hidden="1" customWidth="1"/>
    <col min="74" max="74" width="4.7109375" style="251" customWidth="1"/>
    <col min="75" max="75" width="5" style="251" bestFit="1" customWidth="1"/>
    <col min="76" max="76" width="4" style="251" bestFit="1" customWidth="1"/>
    <col min="77" max="83" width="5" style="251" bestFit="1" customWidth="1"/>
    <col min="84" max="84" width="3.42578125" style="251" bestFit="1" customWidth="1"/>
    <col min="85" max="85" width="3.85546875" style="251" bestFit="1" customWidth="1"/>
    <col min="86" max="86" width="3.42578125" style="251" bestFit="1" customWidth="1"/>
    <col min="87" max="87" width="6" style="251" bestFit="1" customWidth="1"/>
    <col min="88" max="88" width="1.28515625" style="251" customWidth="1"/>
    <col min="89" max="101" width="5.85546875" style="251" customWidth="1"/>
    <col min="102" max="102" width="1" style="251" customWidth="1"/>
    <col min="103" max="103" width="6.140625" style="251" customWidth="1"/>
    <col min="104" max="110" width="5.7109375" style="251" customWidth="1"/>
    <col min="111" max="111" width="6.5703125" style="251" customWidth="1"/>
    <col min="112" max="114" width="5.7109375" style="251" customWidth="1"/>
    <col min="115" max="115" width="7.140625" style="253" bestFit="1" customWidth="1"/>
    <col min="116" max="116" width="1.140625" style="250" customWidth="1"/>
    <col min="117" max="117" width="6.5703125" style="251" customWidth="1"/>
    <col min="118" max="123" width="5.140625" style="251" bestFit="1" customWidth="1"/>
    <col min="124" max="124" width="5.7109375" style="251" bestFit="1" customWidth="1"/>
    <col min="125" max="125" width="4.85546875" style="251" bestFit="1" customWidth="1"/>
    <col min="126" max="126" width="5.7109375" style="251" bestFit="1" customWidth="1"/>
    <col min="127" max="128" width="4.85546875" style="251" bestFit="1" customWidth="1"/>
    <col min="129" max="129" width="7.28515625" style="253" bestFit="1" customWidth="1"/>
    <col min="130" max="130" width="1.5703125" style="252" customWidth="1"/>
    <col min="131" max="214" width="11.42578125" customWidth="1"/>
    <col min="215" max="219" width="1.28515625" style="251" hidden="1" customWidth="1"/>
    <col min="220" max="248" width="0" style="251" hidden="1" customWidth="1"/>
    <col min="249" max="253" width="1.28515625" style="251" hidden="1" customWidth="1"/>
    <col min="254" max="264" width="0" style="251" hidden="1" customWidth="1"/>
    <col min="265" max="269" width="1.28515625" style="251" hidden="1" customWidth="1"/>
    <col min="270" max="286" width="0" style="251" hidden="1" customWidth="1"/>
    <col min="287" max="16384" width="1.28515625" style="251" hidden="1"/>
  </cols>
  <sheetData>
    <row r="1" spans="2:215" ht="15.75" customHeight="1" x14ac:dyDescent="0.2"/>
    <row r="2" spans="2:215" ht="84.75" customHeight="1" x14ac:dyDescent="0.3">
      <c r="C2" s="254" t="str">
        <f>+NOMBRE!B7</f>
        <v>ENERO - MAYO 2024</v>
      </c>
      <c r="E2" s="968" t="s">
        <v>449</v>
      </c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70"/>
      <c r="R2" s="255"/>
      <c r="S2" s="968" t="s">
        <v>204</v>
      </c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70"/>
      <c r="AF2" s="255"/>
      <c r="AG2" s="968" t="s">
        <v>205</v>
      </c>
      <c r="AH2" s="969"/>
      <c r="AI2" s="969"/>
      <c r="AJ2" s="969"/>
      <c r="AK2" s="969"/>
      <c r="AL2" s="969"/>
      <c r="AM2" s="969"/>
      <c r="AN2" s="969"/>
      <c r="AO2" s="969"/>
      <c r="AP2" s="969"/>
      <c r="AQ2" s="969"/>
      <c r="AR2" s="969"/>
      <c r="AS2" s="970"/>
      <c r="AT2" s="255"/>
      <c r="AU2" s="968" t="s">
        <v>206</v>
      </c>
      <c r="AV2" s="969"/>
      <c r="AW2" s="969"/>
      <c r="AX2" s="969"/>
      <c r="AY2" s="969"/>
      <c r="AZ2" s="969"/>
      <c r="BA2" s="969"/>
      <c r="BB2" s="969"/>
      <c r="BC2" s="969"/>
      <c r="BD2" s="969"/>
      <c r="BE2" s="969"/>
      <c r="BF2" s="969"/>
      <c r="BG2" s="970"/>
      <c r="BH2" s="255"/>
      <c r="BI2" s="968" t="s">
        <v>207</v>
      </c>
      <c r="BJ2" s="969"/>
      <c r="BK2" s="969"/>
      <c r="BL2" s="969"/>
      <c r="BM2" s="969"/>
      <c r="BN2" s="969"/>
      <c r="BO2" s="969"/>
      <c r="BP2" s="969"/>
      <c r="BQ2" s="969"/>
      <c r="BR2" s="969"/>
      <c r="BS2" s="969"/>
      <c r="BT2" s="969"/>
      <c r="BU2" s="970"/>
      <c r="BV2" s="255"/>
      <c r="BW2" s="968" t="s">
        <v>208</v>
      </c>
      <c r="BX2" s="969"/>
      <c r="BY2" s="969"/>
      <c r="BZ2" s="969"/>
      <c r="CA2" s="969"/>
      <c r="CB2" s="969"/>
      <c r="CC2" s="969"/>
      <c r="CD2" s="969"/>
      <c r="CE2" s="969"/>
      <c r="CF2" s="969"/>
      <c r="CG2" s="969"/>
      <c r="CH2" s="969"/>
      <c r="CI2" s="970"/>
      <c r="CJ2" s="278"/>
      <c r="CK2" s="968" t="s">
        <v>209</v>
      </c>
      <c r="CL2" s="969"/>
      <c r="CM2" s="969"/>
      <c r="CN2" s="969"/>
      <c r="CO2" s="969"/>
      <c r="CP2" s="969"/>
      <c r="CQ2" s="969"/>
      <c r="CR2" s="969"/>
      <c r="CS2" s="969"/>
      <c r="CT2" s="969"/>
      <c r="CU2" s="969"/>
      <c r="CV2" s="969"/>
      <c r="CW2" s="970"/>
      <c r="CX2" s="255"/>
      <c r="CY2" s="968" t="s">
        <v>210</v>
      </c>
      <c r="CZ2" s="969"/>
      <c r="DA2" s="969"/>
      <c r="DB2" s="969"/>
      <c r="DC2" s="969"/>
      <c r="DD2" s="969"/>
      <c r="DE2" s="969"/>
      <c r="DF2" s="969"/>
      <c r="DG2" s="969"/>
      <c r="DH2" s="969"/>
      <c r="DI2" s="969"/>
      <c r="DJ2" s="969"/>
      <c r="DK2" s="970"/>
      <c r="DL2" s="255"/>
      <c r="DM2" s="971" t="s">
        <v>211</v>
      </c>
      <c r="DN2" s="972"/>
      <c r="DO2" s="972"/>
      <c r="DP2" s="972"/>
      <c r="DQ2" s="972"/>
      <c r="DR2" s="972"/>
      <c r="DS2" s="972"/>
      <c r="DT2" s="972"/>
      <c r="DU2" s="972"/>
      <c r="DV2" s="972"/>
      <c r="DW2" s="972"/>
      <c r="DX2" s="972"/>
      <c r="DY2" s="973"/>
      <c r="DZ2" s="256"/>
      <c r="HG2" s="256"/>
    </row>
    <row r="3" spans="2:215" ht="6.75" customHeight="1" x14ac:dyDescent="0.2"/>
    <row r="4" spans="2:215" s="257" customFormat="1" ht="12" x14ac:dyDescent="0.2">
      <c r="E4" s="967" t="s">
        <v>188</v>
      </c>
      <c r="F4" s="967"/>
      <c r="G4" s="967"/>
      <c r="H4" s="967"/>
      <c r="I4" s="967"/>
      <c r="J4" s="967"/>
      <c r="K4" s="967"/>
      <c r="L4" s="967"/>
      <c r="M4" s="967"/>
      <c r="N4" s="967"/>
      <c r="O4" s="967"/>
      <c r="P4" s="967"/>
      <c r="Q4" s="967"/>
      <c r="R4" s="258"/>
      <c r="S4" s="967" t="s">
        <v>188</v>
      </c>
      <c r="T4" s="967"/>
      <c r="U4" s="967"/>
      <c r="V4" s="967"/>
      <c r="W4" s="967"/>
      <c r="X4" s="967"/>
      <c r="Y4" s="967"/>
      <c r="Z4" s="967"/>
      <c r="AA4" s="967"/>
      <c r="AB4" s="967"/>
      <c r="AC4" s="967"/>
      <c r="AD4" s="967"/>
      <c r="AE4" s="967"/>
      <c r="AF4" s="258"/>
      <c r="AG4" s="967" t="s">
        <v>188</v>
      </c>
      <c r="AH4" s="967"/>
      <c r="AI4" s="967"/>
      <c r="AJ4" s="967"/>
      <c r="AK4" s="967"/>
      <c r="AL4" s="967"/>
      <c r="AM4" s="967"/>
      <c r="AN4" s="967"/>
      <c r="AO4" s="967"/>
      <c r="AP4" s="967"/>
      <c r="AQ4" s="967"/>
      <c r="AR4" s="967"/>
      <c r="AS4" s="967"/>
      <c r="AT4" s="258"/>
      <c r="AU4" s="967" t="s">
        <v>188</v>
      </c>
      <c r="AV4" s="967"/>
      <c r="AW4" s="967"/>
      <c r="AX4" s="967"/>
      <c r="AY4" s="967"/>
      <c r="AZ4" s="967"/>
      <c r="BA4" s="967"/>
      <c r="BB4" s="967"/>
      <c r="BC4" s="967"/>
      <c r="BD4" s="967"/>
      <c r="BE4" s="967"/>
      <c r="BF4" s="967"/>
      <c r="BG4" s="967"/>
      <c r="BH4" s="258"/>
      <c r="BI4" s="967" t="s">
        <v>188</v>
      </c>
      <c r="BJ4" s="967"/>
      <c r="BK4" s="967"/>
      <c r="BL4" s="967"/>
      <c r="BM4" s="967"/>
      <c r="BN4" s="967"/>
      <c r="BO4" s="967"/>
      <c r="BP4" s="967"/>
      <c r="BQ4" s="967"/>
      <c r="BR4" s="967"/>
      <c r="BS4" s="967"/>
      <c r="BT4" s="967"/>
      <c r="BU4" s="967"/>
      <c r="BV4" s="258"/>
      <c r="BW4" s="967" t="s">
        <v>188</v>
      </c>
      <c r="BX4" s="967"/>
      <c r="BY4" s="967"/>
      <c r="BZ4" s="967"/>
      <c r="CA4" s="967"/>
      <c r="CB4" s="967"/>
      <c r="CC4" s="967"/>
      <c r="CD4" s="967"/>
      <c r="CE4" s="967"/>
      <c r="CF4" s="967"/>
      <c r="CG4" s="967"/>
      <c r="CH4" s="967"/>
      <c r="CI4" s="967"/>
      <c r="CJ4" s="279"/>
      <c r="CK4" s="967" t="s">
        <v>188</v>
      </c>
      <c r="CL4" s="967"/>
      <c r="CM4" s="967"/>
      <c r="CN4" s="967"/>
      <c r="CO4" s="967"/>
      <c r="CP4" s="967"/>
      <c r="CQ4" s="967"/>
      <c r="CR4" s="967"/>
      <c r="CS4" s="967"/>
      <c r="CT4" s="967"/>
      <c r="CU4" s="967"/>
      <c r="CV4" s="967"/>
      <c r="CW4" s="967"/>
      <c r="CX4" s="258"/>
      <c r="CY4" s="967" t="s">
        <v>188</v>
      </c>
      <c r="CZ4" s="967"/>
      <c r="DA4" s="967"/>
      <c r="DB4" s="967"/>
      <c r="DC4" s="967"/>
      <c r="DD4" s="967"/>
      <c r="DE4" s="967"/>
      <c r="DF4" s="967"/>
      <c r="DG4" s="967"/>
      <c r="DH4" s="967"/>
      <c r="DI4" s="967"/>
      <c r="DJ4" s="967"/>
      <c r="DK4" s="967"/>
      <c r="DL4" s="258"/>
      <c r="DM4" s="967" t="s">
        <v>188</v>
      </c>
      <c r="DN4" s="967"/>
      <c r="DO4" s="967"/>
      <c r="DP4" s="967"/>
      <c r="DQ4" s="967"/>
      <c r="DR4" s="967"/>
      <c r="DS4" s="967"/>
      <c r="DT4" s="967"/>
      <c r="DU4" s="967"/>
      <c r="DV4" s="967"/>
      <c r="DW4" s="967"/>
      <c r="DX4" s="967"/>
      <c r="DY4" s="967"/>
      <c r="DZ4" s="259"/>
      <c r="EA4" s="258"/>
      <c r="EB4" s="258"/>
      <c r="EC4" s="258"/>
    </row>
    <row r="5" spans="2:215" s="260" customFormat="1" ht="12" x14ac:dyDescent="0.2">
      <c r="B5" s="148" t="s">
        <v>93</v>
      </c>
      <c r="C5" s="149" t="s">
        <v>94</v>
      </c>
      <c r="E5" s="261" t="s">
        <v>189</v>
      </c>
      <c r="F5" s="261" t="s">
        <v>190</v>
      </c>
      <c r="G5" s="261" t="s">
        <v>191</v>
      </c>
      <c r="H5" s="261" t="s">
        <v>192</v>
      </c>
      <c r="I5" s="261" t="s">
        <v>193</v>
      </c>
      <c r="J5" s="261" t="s">
        <v>194</v>
      </c>
      <c r="K5" s="261" t="s">
        <v>195</v>
      </c>
      <c r="L5" s="261" t="s">
        <v>196</v>
      </c>
      <c r="M5" s="261" t="s">
        <v>197</v>
      </c>
      <c r="N5" s="261" t="s">
        <v>198</v>
      </c>
      <c r="O5" s="261" t="s">
        <v>199</v>
      </c>
      <c r="P5" s="261" t="s">
        <v>200</v>
      </c>
      <c r="Q5" s="262" t="s">
        <v>201</v>
      </c>
      <c r="R5" s="258"/>
      <c r="S5" s="261" t="s">
        <v>189</v>
      </c>
      <c r="T5" s="261" t="s">
        <v>190</v>
      </c>
      <c r="U5" s="261" t="s">
        <v>191</v>
      </c>
      <c r="V5" s="261" t="s">
        <v>192</v>
      </c>
      <c r="W5" s="261" t="s">
        <v>193</v>
      </c>
      <c r="X5" s="261" t="s">
        <v>194</v>
      </c>
      <c r="Y5" s="261" t="s">
        <v>195</v>
      </c>
      <c r="Z5" s="261" t="s">
        <v>196</v>
      </c>
      <c r="AA5" s="261" t="s">
        <v>197</v>
      </c>
      <c r="AB5" s="261" t="s">
        <v>198</v>
      </c>
      <c r="AC5" s="261" t="s">
        <v>199</v>
      </c>
      <c r="AD5" s="261" t="s">
        <v>200</v>
      </c>
      <c r="AE5" s="262" t="s">
        <v>201</v>
      </c>
      <c r="AF5" s="258"/>
      <c r="AG5" s="626" t="s">
        <v>189</v>
      </c>
      <c r="AH5" s="626" t="s">
        <v>190</v>
      </c>
      <c r="AI5" s="626" t="s">
        <v>191</v>
      </c>
      <c r="AJ5" s="626" t="s">
        <v>192</v>
      </c>
      <c r="AK5" s="626" t="s">
        <v>193</v>
      </c>
      <c r="AL5" s="626" t="s">
        <v>194</v>
      </c>
      <c r="AM5" s="626" t="s">
        <v>195</v>
      </c>
      <c r="AN5" s="626" t="s">
        <v>196</v>
      </c>
      <c r="AO5" s="626" t="s">
        <v>197</v>
      </c>
      <c r="AP5" s="626" t="s">
        <v>198</v>
      </c>
      <c r="AQ5" s="626" t="s">
        <v>199</v>
      </c>
      <c r="AR5" s="626" t="s">
        <v>200</v>
      </c>
      <c r="AS5" s="262" t="s">
        <v>201</v>
      </c>
      <c r="AT5" s="258"/>
      <c r="AU5" s="626" t="s">
        <v>189</v>
      </c>
      <c r="AV5" s="626" t="s">
        <v>190</v>
      </c>
      <c r="AW5" s="626" t="s">
        <v>191</v>
      </c>
      <c r="AX5" s="626" t="s">
        <v>192</v>
      </c>
      <c r="AY5" s="626" t="s">
        <v>193</v>
      </c>
      <c r="AZ5" s="626" t="s">
        <v>194</v>
      </c>
      <c r="BA5" s="626" t="s">
        <v>195</v>
      </c>
      <c r="BB5" s="626" t="s">
        <v>196</v>
      </c>
      <c r="BC5" s="626" t="s">
        <v>197</v>
      </c>
      <c r="BD5" s="626" t="s">
        <v>198</v>
      </c>
      <c r="BE5" s="626" t="s">
        <v>199</v>
      </c>
      <c r="BF5" s="626" t="s">
        <v>200</v>
      </c>
      <c r="BG5" s="262" t="s">
        <v>201</v>
      </c>
      <c r="BH5" s="258"/>
      <c r="BI5" s="626" t="s">
        <v>189</v>
      </c>
      <c r="BJ5" s="626" t="s">
        <v>190</v>
      </c>
      <c r="BK5" s="626" t="s">
        <v>191</v>
      </c>
      <c r="BL5" s="626" t="s">
        <v>192</v>
      </c>
      <c r="BM5" s="626" t="s">
        <v>193</v>
      </c>
      <c r="BN5" s="626" t="s">
        <v>194</v>
      </c>
      <c r="BO5" s="626" t="s">
        <v>195</v>
      </c>
      <c r="BP5" s="626" t="s">
        <v>196</v>
      </c>
      <c r="BQ5" s="626" t="s">
        <v>197</v>
      </c>
      <c r="BR5" s="626" t="s">
        <v>198</v>
      </c>
      <c r="BS5" s="626" t="s">
        <v>199</v>
      </c>
      <c r="BT5" s="626" t="s">
        <v>200</v>
      </c>
      <c r="BU5" s="262" t="s">
        <v>201</v>
      </c>
      <c r="BV5" s="258"/>
      <c r="BW5" s="626" t="s">
        <v>189</v>
      </c>
      <c r="BX5" s="626" t="s">
        <v>190</v>
      </c>
      <c r="BY5" s="626" t="s">
        <v>191</v>
      </c>
      <c r="BZ5" s="626" t="s">
        <v>192</v>
      </c>
      <c r="CA5" s="626" t="s">
        <v>193</v>
      </c>
      <c r="CB5" s="626" t="s">
        <v>194</v>
      </c>
      <c r="CC5" s="626" t="s">
        <v>195</v>
      </c>
      <c r="CD5" s="626" t="s">
        <v>196</v>
      </c>
      <c r="CE5" s="626" t="s">
        <v>197</v>
      </c>
      <c r="CF5" s="626" t="s">
        <v>198</v>
      </c>
      <c r="CG5" s="626" t="s">
        <v>199</v>
      </c>
      <c r="CH5" s="626" t="s">
        <v>200</v>
      </c>
      <c r="CI5" s="262" t="s">
        <v>201</v>
      </c>
      <c r="CJ5" s="280"/>
      <c r="CK5" s="261" t="s">
        <v>189</v>
      </c>
      <c r="CL5" s="261" t="s">
        <v>190</v>
      </c>
      <c r="CM5" s="261" t="s">
        <v>191</v>
      </c>
      <c r="CN5" s="261" t="s">
        <v>192</v>
      </c>
      <c r="CO5" s="261" t="s">
        <v>193</v>
      </c>
      <c r="CP5" s="261" t="s">
        <v>194</v>
      </c>
      <c r="CQ5" s="261" t="s">
        <v>195</v>
      </c>
      <c r="CR5" s="261" t="s">
        <v>196</v>
      </c>
      <c r="CS5" s="261" t="s">
        <v>197</v>
      </c>
      <c r="CT5" s="261" t="s">
        <v>198</v>
      </c>
      <c r="CU5" s="261" t="s">
        <v>199</v>
      </c>
      <c r="CV5" s="261" t="s">
        <v>200</v>
      </c>
      <c r="CW5" s="262" t="s">
        <v>201</v>
      </c>
      <c r="CX5" s="258"/>
      <c r="CY5" s="261" t="s">
        <v>189</v>
      </c>
      <c r="CZ5" s="261" t="s">
        <v>190</v>
      </c>
      <c r="DA5" s="261" t="s">
        <v>191</v>
      </c>
      <c r="DB5" s="261" t="s">
        <v>192</v>
      </c>
      <c r="DC5" s="261" t="s">
        <v>193</v>
      </c>
      <c r="DD5" s="261" t="s">
        <v>194</v>
      </c>
      <c r="DE5" s="261" t="s">
        <v>195</v>
      </c>
      <c r="DF5" s="261" t="s">
        <v>196</v>
      </c>
      <c r="DG5" s="261" t="s">
        <v>197</v>
      </c>
      <c r="DH5" s="261" t="s">
        <v>198</v>
      </c>
      <c r="DI5" s="261" t="s">
        <v>199</v>
      </c>
      <c r="DJ5" s="261" t="s">
        <v>200</v>
      </c>
      <c r="DK5" s="470" t="s">
        <v>201</v>
      </c>
      <c r="DL5" s="258"/>
      <c r="DM5" s="261" t="s">
        <v>189</v>
      </c>
      <c r="DN5" s="261" t="s">
        <v>190</v>
      </c>
      <c r="DO5" s="261" t="s">
        <v>191</v>
      </c>
      <c r="DP5" s="261" t="s">
        <v>192</v>
      </c>
      <c r="DQ5" s="261" t="s">
        <v>193</v>
      </c>
      <c r="DR5" s="261" t="s">
        <v>194</v>
      </c>
      <c r="DS5" s="261" t="s">
        <v>195</v>
      </c>
      <c r="DT5" s="261" t="s">
        <v>196</v>
      </c>
      <c r="DU5" s="261" t="s">
        <v>197</v>
      </c>
      <c r="DV5" s="261" t="s">
        <v>198</v>
      </c>
      <c r="DW5" s="261" t="s">
        <v>199</v>
      </c>
      <c r="DX5" s="261" t="s">
        <v>200</v>
      </c>
      <c r="DY5" s="470" t="s">
        <v>201</v>
      </c>
      <c r="DZ5" s="258"/>
      <c r="EA5" s="258"/>
      <c r="EB5" s="258"/>
      <c r="EC5" s="258"/>
    </row>
    <row r="6" spans="2:215" s="260" customFormat="1" ht="12" x14ac:dyDescent="0.2">
      <c r="B6" s="150">
        <v>107307</v>
      </c>
      <c r="C6" s="151" t="s">
        <v>95</v>
      </c>
      <c r="E6" s="625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25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25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25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25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25"/>
      <c r="K6" s="625"/>
      <c r="L6" s="625"/>
      <c r="M6" s="625"/>
      <c r="N6" s="625"/>
      <c r="O6" s="625"/>
      <c r="P6" s="625"/>
      <c r="Q6" s="625">
        <f>SUM(E6:P6)</f>
        <v>3289</v>
      </c>
      <c r="R6" s="258"/>
      <c r="S6" s="625">
        <f>+[2]A04!$B$12</f>
        <v>1444</v>
      </c>
      <c r="T6" s="625">
        <f>+[3]A04!$B$12</f>
        <v>1884</v>
      </c>
      <c r="U6" s="625">
        <f>+[4]A04!$B$12</f>
        <v>1394</v>
      </c>
      <c r="V6" s="625">
        <f>+[5]A04!$B$12</f>
        <v>1464</v>
      </c>
      <c r="W6" s="625">
        <f>+[6]A04!$B$12</f>
        <v>1445</v>
      </c>
      <c r="X6" s="625"/>
      <c r="Y6" s="625"/>
      <c r="Z6" s="625"/>
      <c r="AA6" s="625"/>
      <c r="AB6" s="625"/>
      <c r="AC6" s="625"/>
      <c r="AD6" s="625"/>
      <c r="AE6" s="276">
        <f>SUM(S6:AD6)</f>
        <v>7631</v>
      </c>
      <c r="AF6" s="258"/>
      <c r="AG6" s="625">
        <f>+[2]A06!$C$12</f>
        <v>305</v>
      </c>
      <c r="AH6" s="625">
        <f>+[3]A06!$C$12</f>
        <v>179</v>
      </c>
      <c r="AI6" s="625">
        <f>+[4]A06!$C$12</f>
        <v>234</v>
      </c>
      <c r="AJ6" s="625">
        <f>+[5]A06!$C$12</f>
        <v>193</v>
      </c>
      <c r="AK6" s="625">
        <f>+[6]A06!$C$12</f>
        <v>244</v>
      </c>
      <c r="AL6" s="625"/>
      <c r="AM6" s="625"/>
      <c r="AN6" s="625"/>
      <c r="AO6" s="625"/>
      <c r="AP6" s="625"/>
      <c r="AQ6" s="625"/>
      <c r="AR6" s="625"/>
      <c r="AS6" s="276">
        <f>SUM(AG6:AR6)</f>
        <v>1155</v>
      </c>
      <c r="AT6" s="258"/>
      <c r="AU6" s="276">
        <v>0</v>
      </c>
      <c r="AV6" s="276">
        <v>0</v>
      </c>
      <c r="AW6" s="276">
        <v>0</v>
      </c>
      <c r="AX6" s="276">
        <v>0</v>
      </c>
      <c r="AY6" s="276">
        <v>0</v>
      </c>
      <c r="AZ6" s="276">
        <v>0</v>
      </c>
      <c r="BA6" s="276">
        <v>0</v>
      </c>
      <c r="BB6" s="276">
        <v>0</v>
      </c>
      <c r="BC6" s="276">
        <v>0</v>
      </c>
      <c r="BD6" s="276">
        <v>0</v>
      </c>
      <c r="BE6" s="276">
        <v>0</v>
      </c>
      <c r="BF6" s="276">
        <v>0</v>
      </c>
      <c r="BG6" s="276">
        <v>0</v>
      </c>
      <c r="BH6" s="258"/>
      <c r="BI6" s="276">
        <v>0</v>
      </c>
      <c r="BJ6" s="276">
        <v>0</v>
      </c>
      <c r="BK6" s="276">
        <v>0</v>
      </c>
      <c r="BL6" s="276">
        <v>0</v>
      </c>
      <c r="BM6" s="276">
        <v>0</v>
      </c>
      <c r="BN6" s="276">
        <v>0</v>
      </c>
      <c r="BO6" s="276">
        <v>0</v>
      </c>
      <c r="BP6" s="276">
        <v>0</v>
      </c>
      <c r="BQ6" s="276">
        <v>0</v>
      </c>
      <c r="BR6" s="276">
        <v>0</v>
      </c>
      <c r="BS6" s="276">
        <v>0</v>
      </c>
      <c r="BT6" s="276">
        <v>0</v>
      </c>
      <c r="BU6" s="276">
        <v>0</v>
      </c>
      <c r="BV6" s="258"/>
      <c r="BW6" s="625">
        <f>+[2]A23!$B$58+[2]A23!$B$63</f>
        <v>68</v>
      </c>
      <c r="BX6" s="625">
        <f>+[3]A23!$B$58+[3]A23!$B$63</f>
        <v>103</v>
      </c>
      <c r="BY6" s="625">
        <f>+[4]A23!$B$58+[4]A23!$B$63</f>
        <v>51</v>
      </c>
      <c r="BZ6" s="625">
        <f>+[5]A23!$B$58+[5]A23!$B$63</f>
        <v>69</v>
      </c>
      <c r="CA6" s="625">
        <f>+[6]A23!$B$58+[6]A23!$B$63</f>
        <v>69</v>
      </c>
      <c r="CB6" s="625"/>
      <c r="CC6" s="625"/>
      <c r="CD6" s="625"/>
      <c r="CE6" s="625"/>
      <c r="CF6" s="625"/>
      <c r="CG6" s="625"/>
      <c r="CH6" s="625"/>
      <c r="CI6" s="276">
        <f>SUM(BW6:CH6)</f>
        <v>360</v>
      </c>
      <c r="CJ6" s="258"/>
      <c r="CK6" s="615">
        <f>+[2]A32!$B$28+[2]A32!$C$134+[2]A32!$C$145</f>
        <v>0</v>
      </c>
      <c r="CL6" s="615">
        <f>+[3]A32!$B$28+[3]A32!$C$134+[3]A32!$C$145</f>
        <v>0</v>
      </c>
      <c r="CM6" s="615">
        <f>+[4]A32!$B$28+[4]A32!$C$134+[4]A32!$C$145</f>
        <v>0</v>
      </c>
      <c r="CN6" s="615">
        <f>+[5]A32!$B$28+[5]A32!$C$134+[5]A32!$C$145</f>
        <v>0</v>
      </c>
      <c r="CO6" s="615">
        <f>+[6]A32!$B$28+[6]A32!$C$134+[6]A32!$C$145</f>
        <v>0</v>
      </c>
      <c r="CP6" s="258">
        <v>0</v>
      </c>
      <c r="CQ6" s="258">
        <v>0</v>
      </c>
      <c r="CR6" s="258">
        <v>0</v>
      </c>
      <c r="CS6" s="258">
        <v>0</v>
      </c>
      <c r="CT6" s="258">
        <v>0</v>
      </c>
      <c r="CU6" s="258">
        <v>0</v>
      </c>
      <c r="CV6" s="258">
        <v>0</v>
      </c>
      <c r="CW6" s="264">
        <v>0</v>
      </c>
      <c r="CX6" s="258"/>
      <c r="CY6" s="615">
        <f>+E6+S6+AG6+AU6+BI6+BW6+CK6</f>
        <v>2499</v>
      </c>
      <c r="CZ6" s="263">
        <f t="shared" ref="CZ6:DJ12" si="0">+F6+T6+AH6+AV6+BJ6+BX6+CL6</f>
        <v>2631</v>
      </c>
      <c r="DA6" s="263">
        <f t="shared" si="0"/>
        <v>2326</v>
      </c>
      <c r="DB6" s="263">
        <f t="shared" si="0"/>
        <v>2425</v>
      </c>
      <c r="DC6" s="263">
        <f t="shared" si="0"/>
        <v>2554</v>
      </c>
      <c r="DD6" s="263">
        <f t="shared" si="0"/>
        <v>0</v>
      </c>
      <c r="DE6" s="263">
        <f t="shared" si="0"/>
        <v>0</v>
      </c>
      <c r="DF6" s="263">
        <f t="shared" si="0"/>
        <v>0</v>
      </c>
      <c r="DG6" s="263">
        <f t="shared" si="0"/>
        <v>0</v>
      </c>
      <c r="DH6" s="263">
        <f t="shared" si="0"/>
        <v>0</v>
      </c>
      <c r="DI6" s="263">
        <f t="shared" si="0"/>
        <v>0</v>
      </c>
      <c r="DJ6" s="263">
        <f t="shared" si="0"/>
        <v>0</v>
      </c>
      <c r="DK6" s="471">
        <f>SUM(CY6:DJ6)</f>
        <v>12435</v>
      </c>
      <c r="DL6" s="258"/>
      <c r="DM6" s="436">
        <f>SUM(([2]A07!$AE$136:$AF$136))-SUM(([2]A07!$AE$120:$AE$124), ([2]A07!$AE$129:$AE$131))+SUM(([2]A07!$AF$106), ([2]A07!$AF$120:$AF$124), ([2]A07!$AF$129:$AF$131))</f>
        <v>115</v>
      </c>
      <c r="DN6" s="436">
        <f>SUM(([3]A07!$AE$136:$AF$136))-SUM(([3]A07!$AE$120:$AE$124), ([3]A07!$AE$129:$AE$131))+SUM(([3]A07!$AF$106), ([3]A07!$AF$120:$AF$124), ([3]A07!$AF$129:$AF$131))</f>
        <v>130</v>
      </c>
      <c r="DO6" s="436">
        <f>SUM(([4]A07!$AE$136:$AF$136))-SUM(([4]A07!$AE$120:$AE$124), ([4]A07!$AE$129:$AE$131))+SUM(([4]A07!$AF$106), ([4]A07!$AF$120:$AF$124), ([4]A07!$AF$129:$AF$131))</f>
        <v>92</v>
      </c>
      <c r="DP6" s="436">
        <f>SUM(([5]A07!$AE$136:$AF$136))-SUM(([5]A07!$AE$120:$AE$124), ([5]A07!$AE$129:$AE$131))+SUM(([5]A07!$AF$106), ([5]A07!$AF$120:$AF$124), ([5]A07!$AF$129:$AF$131))</f>
        <v>51</v>
      </c>
      <c r="DQ6" s="436">
        <f>SUM(([6]A07!$AE$136:$AF$136))-SUM(([6]A07!$AE$120:$AE$124), ([6]A07!$AE$129:$AE$131))+SUM(([6]A07!$AF$106), ([6]A07!$AF$120:$AF$124), ([6]A07!$AF$129:$AF$131))</f>
        <v>125</v>
      </c>
      <c r="DR6" s="436"/>
      <c r="DS6" s="436"/>
      <c r="DT6" s="436"/>
      <c r="DU6" s="436"/>
      <c r="DV6" s="436"/>
      <c r="DW6" s="436"/>
      <c r="DX6" s="436"/>
      <c r="DY6" s="471">
        <f>SUM(DM6:DX6)</f>
        <v>513</v>
      </c>
      <c r="DZ6" s="258"/>
    </row>
    <row r="7" spans="2:215" s="260" customFormat="1" ht="12" x14ac:dyDescent="0.2">
      <c r="B7" s="150">
        <v>107308</v>
      </c>
      <c r="C7" s="151" t="s">
        <v>96</v>
      </c>
      <c r="E7" s="625">
        <f>+[8]A01!$C$11+[8]A01!$C$13+[8]A01!$C$15+[8]A01!$C$17+[8]A01!$C$19+[8]A01!$C$21+[8]A01!$C$23+[8]A01!$C$25+[8]A01!$C$27+[8]A01!$C$29+[8]A01!$C$31+[8]A01!$C$36+[8]A01!$C$44+[8]A01!$C$48+[8]A01!$C$51+[8]A01!$C$54+[8]A01!$C$57+[8]A01!$C$63</f>
        <v>323</v>
      </c>
      <c r="F7" s="625">
        <f>+[9]A01!$C$11+[9]A01!$C$13+[9]A01!$C$15+[9]A01!$C$17+[9]A01!$C$19+[9]A01!$C$21+[9]A01!$C$23+[9]A01!$C$25+[9]A01!$C$27+[9]A01!$C$29+[9]A01!$C$31+[9]A01!$C$36+[9]A01!$C$44+[9]A01!$C$48+[9]A01!$C$51+[9]A01!$C$54+[9]A01!$C$57+[9]A01!$C$63</f>
        <v>184</v>
      </c>
      <c r="G7" s="625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337</v>
      </c>
      <c r="H7" s="625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394</v>
      </c>
      <c r="I7" s="625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617</v>
      </c>
      <c r="J7" s="625"/>
      <c r="K7" s="625"/>
      <c r="L7" s="625"/>
      <c r="M7" s="625"/>
      <c r="N7" s="625"/>
      <c r="O7" s="625"/>
      <c r="P7" s="625"/>
      <c r="Q7" s="276">
        <f t="shared" ref="Q7:Q8" si="1">SUM(E7:P7)</f>
        <v>1855</v>
      </c>
      <c r="R7" s="258"/>
      <c r="S7" s="625">
        <f>+[8]A04!$B$12</f>
        <v>956</v>
      </c>
      <c r="T7" s="625">
        <f>+[9]A04!$B$12</f>
        <v>1126</v>
      </c>
      <c r="U7" s="625">
        <f>+[10]A04!$B$12</f>
        <v>926</v>
      </c>
      <c r="V7" s="625">
        <f>+[11]A04!$B$12</f>
        <v>1088</v>
      </c>
      <c r="W7" s="625">
        <f>+[12]A04!$B$12</f>
        <v>1047</v>
      </c>
      <c r="X7" s="625"/>
      <c r="Y7" s="625"/>
      <c r="Z7" s="625"/>
      <c r="AA7" s="625"/>
      <c r="AB7" s="625"/>
      <c r="AC7" s="625"/>
      <c r="AD7" s="625"/>
      <c r="AE7" s="276">
        <f t="shared" ref="AE7:AE12" si="2">SUM(S7:AD7)</f>
        <v>5143</v>
      </c>
      <c r="AF7" s="258"/>
      <c r="AG7" s="625">
        <f>+[8]A06!$C$12</f>
        <v>0</v>
      </c>
      <c r="AH7" s="625">
        <f>+[9]A06!$C$12</f>
        <v>71</v>
      </c>
      <c r="AI7" s="625">
        <f>+[10]A06!$C$12</f>
        <v>118</v>
      </c>
      <c r="AJ7" s="625">
        <f>+[11]A06!$C$12</f>
        <v>131</v>
      </c>
      <c r="AK7" s="625">
        <f>+[12]A06!$C$12</f>
        <v>190</v>
      </c>
      <c r="AL7" s="625"/>
      <c r="AM7" s="625"/>
      <c r="AN7" s="625"/>
      <c r="AO7" s="625"/>
      <c r="AP7" s="625"/>
      <c r="AQ7" s="625"/>
      <c r="AR7" s="625"/>
      <c r="AS7" s="276">
        <f t="shared" ref="AS7:AS12" si="3">SUM(AG7:AR7)</f>
        <v>510</v>
      </c>
      <c r="AT7" s="258"/>
      <c r="AU7" s="276">
        <v>0</v>
      </c>
      <c r="AV7" s="276">
        <v>0</v>
      </c>
      <c r="AW7" s="276">
        <v>0</v>
      </c>
      <c r="AX7" s="276">
        <v>0</v>
      </c>
      <c r="AY7" s="276">
        <v>0</v>
      </c>
      <c r="AZ7" s="276">
        <v>0</v>
      </c>
      <c r="BA7" s="276">
        <v>0</v>
      </c>
      <c r="BB7" s="276">
        <v>0</v>
      </c>
      <c r="BC7" s="276">
        <v>0</v>
      </c>
      <c r="BD7" s="276">
        <v>0</v>
      </c>
      <c r="BE7" s="276">
        <v>0</v>
      </c>
      <c r="BF7" s="276">
        <v>0</v>
      </c>
      <c r="BG7" s="276">
        <v>0</v>
      </c>
      <c r="BH7" s="258"/>
      <c r="BI7" s="276">
        <v>0</v>
      </c>
      <c r="BJ7" s="276">
        <v>0</v>
      </c>
      <c r="BK7" s="276">
        <v>0</v>
      </c>
      <c r="BL7" s="276">
        <v>0</v>
      </c>
      <c r="BM7" s="276">
        <v>0</v>
      </c>
      <c r="BN7" s="276">
        <v>0</v>
      </c>
      <c r="BO7" s="276">
        <v>0</v>
      </c>
      <c r="BP7" s="276">
        <v>0</v>
      </c>
      <c r="BQ7" s="276">
        <v>0</v>
      </c>
      <c r="BR7" s="276">
        <v>0</v>
      </c>
      <c r="BS7" s="276">
        <v>0</v>
      </c>
      <c r="BT7" s="276">
        <v>0</v>
      </c>
      <c r="BU7" s="276">
        <v>0</v>
      </c>
      <c r="BV7" s="258"/>
      <c r="BW7" s="625">
        <f>+[8]A23!$B$58+[8]A23!$B$63</f>
        <v>85</v>
      </c>
      <c r="BX7" s="625">
        <f>+[9]A23!$B$58+[9]A23!$B$63</f>
        <v>43</v>
      </c>
      <c r="BY7" s="625">
        <f>+[10]A23!$B$58+[10]A23!$B$63</f>
        <v>103</v>
      </c>
      <c r="BZ7" s="625">
        <f>+[11]A23!$B$58+[11]A23!$B$63</f>
        <v>37</v>
      </c>
      <c r="CA7" s="625">
        <f>+[12]A23!$B$58+[12]A23!$B$63</f>
        <v>89</v>
      </c>
      <c r="CB7" s="625"/>
      <c r="CC7" s="625"/>
      <c r="CD7" s="625"/>
      <c r="CE7" s="625"/>
      <c r="CF7" s="625"/>
      <c r="CG7" s="625"/>
      <c r="CH7" s="625"/>
      <c r="CI7" s="276">
        <f t="shared" ref="CI7:CI12" si="4">SUM(BW7:CH7)</f>
        <v>357</v>
      </c>
      <c r="CJ7" s="258"/>
      <c r="CK7" s="615">
        <f>+[8]A32!$B$28+[8]A32!$C$134+[8]A32!$C$145</f>
        <v>0</v>
      </c>
      <c r="CL7" s="615">
        <f>+[9]A32!$B$28+[9]A32!$C$134+[9]A32!$C$145</f>
        <v>0</v>
      </c>
      <c r="CM7" s="615">
        <f>+[10]A32!$B$28+[10]A32!$C$134+[10]A32!$C$145</f>
        <v>0</v>
      </c>
      <c r="CN7" s="615">
        <f>+[11]A32!$B$28+[11]A32!$C$134+[11]A32!$C$145</f>
        <v>0</v>
      </c>
      <c r="CO7" s="615">
        <f>+[12]A32!$B$28+[12]A32!$C$134+[12]A32!$C$145</f>
        <v>0</v>
      </c>
      <c r="CP7" s="258">
        <v>0</v>
      </c>
      <c r="CQ7" s="258">
        <v>0</v>
      </c>
      <c r="CR7" s="258">
        <v>0</v>
      </c>
      <c r="CS7" s="258">
        <v>0</v>
      </c>
      <c r="CT7" s="258">
        <v>0</v>
      </c>
      <c r="CU7" s="258">
        <v>0</v>
      </c>
      <c r="CV7" s="258">
        <v>0</v>
      </c>
      <c r="CW7" s="264">
        <v>0</v>
      </c>
      <c r="CX7" s="258"/>
      <c r="CY7" s="263">
        <f t="shared" ref="CY7:CY12" si="5">+E7+S7+AG7+AU7+BI7+BW7+CK7</f>
        <v>1364</v>
      </c>
      <c r="CZ7" s="263">
        <f t="shared" si="0"/>
        <v>1424</v>
      </c>
      <c r="DA7" s="263">
        <f t="shared" si="0"/>
        <v>1484</v>
      </c>
      <c r="DB7" s="263">
        <f t="shared" si="0"/>
        <v>1650</v>
      </c>
      <c r="DC7" s="263">
        <f t="shared" si="0"/>
        <v>1943</v>
      </c>
      <c r="DD7" s="263">
        <f t="shared" si="0"/>
        <v>0</v>
      </c>
      <c r="DE7" s="263">
        <f t="shared" si="0"/>
        <v>0</v>
      </c>
      <c r="DF7" s="263">
        <f t="shared" si="0"/>
        <v>0</v>
      </c>
      <c r="DG7" s="263">
        <f t="shared" si="0"/>
        <v>0</v>
      </c>
      <c r="DH7" s="263">
        <f t="shared" si="0"/>
        <v>0</v>
      </c>
      <c r="DI7" s="263">
        <f t="shared" si="0"/>
        <v>0</v>
      </c>
      <c r="DJ7" s="263">
        <f t="shared" si="0"/>
        <v>0</v>
      </c>
      <c r="DK7" s="471">
        <f t="shared" ref="DK7:DK12" si="6">SUM(CY7:DJ7)</f>
        <v>7865</v>
      </c>
      <c r="DL7" s="258"/>
      <c r="DM7" s="436">
        <f>SUM(([8]A07!$AE$136:$AF$136))-SUM(([8]A07!$AE$120:$AE$124), ([8]A07!$AE$129:$AE$131))+SUM(([8]A07!$AF$106), ([8]A07!$AF$120:$AF$124), ([8]A07!$AF$129:$AF$131))</f>
        <v>90</v>
      </c>
      <c r="DN7" s="436">
        <f>SUM(([9]A07!$AE$136:$AF$136))-SUM(([9]A07!$AE$120:$AE$124), ([9]A07!$AE$129:$AE$131))+SUM(([9]A07!$AF$106), ([9]A07!$AF$120:$AF$124), ([9]A07!$AF$129:$AF$131))</f>
        <v>53</v>
      </c>
      <c r="DO7" s="436">
        <f>SUM(([10]A07!$AE$136:$AF$136))-SUM(([10]A07!$AE$120:$AE$124), ([10]A07!$AE$129:$AE$131))+SUM(([10]A07!$AF$106), ([10]A07!$AF$120:$AF$124), ([10]A07!$AF$129:$AF$131))</f>
        <v>94</v>
      </c>
      <c r="DP7" s="436">
        <f>SUM(([11]A07!$AE$136:$AF$136))-SUM(([11]A07!$AE$120:$AE$124), ([11]A07!$AE$129:$AE$131))+SUM(([11]A07!$AF$106), ([11]A07!$AF$120:$AF$124), ([11]A07!$AF$129:$AF$131))</f>
        <v>148</v>
      </c>
      <c r="DQ7" s="436">
        <f>SUM(([12]A07!$AE$136:$AF$136))-SUM(([12]A07!$AE$120:$AE$124), ([12]A07!$AE$129:$AE$131))+SUM(([12]A07!$AF$106), ([12]A07!$AF$120:$AF$124), ([12]A07!$AF$129:$AF$131))</f>
        <v>196</v>
      </c>
      <c r="DR7" s="436"/>
      <c r="DS7" s="436"/>
      <c r="DT7" s="436"/>
      <c r="DU7" s="436"/>
      <c r="DV7" s="436"/>
      <c r="DW7" s="436"/>
      <c r="DX7" s="436"/>
      <c r="DY7" s="471">
        <f t="shared" ref="DY7:DY12" si="7">SUM(DM7:DX7)</f>
        <v>581</v>
      </c>
      <c r="DZ7" s="258"/>
      <c r="EA7" s="281"/>
      <c r="EB7" s="258"/>
      <c r="EC7" s="258"/>
    </row>
    <row r="8" spans="2:215" s="260" customFormat="1" ht="12" x14ac:dyDescent="0.2">
      <c r="B8" s="150">
        <v>107353</v>
      </c>
      <c r="C8" s="151" t="s">
        <v>97</v>
      </c>
      <c r="E8" s="625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281</v>
      </c>
      <c r="F8" s="625">
        <f>+[15]A01!$C$11+[15]A01!$C$13+[15]A01!$C$15+[15]A01!$C$17+[15]A01!$C$19+[15]A01!$C$21+[15]A01!$C$23+[15]A01!$C$25+[15]A01!$C$27+[15]A01!$C$29+[15]A01!$C$31+[15]A01!$C$36+[15]A01!$C$44+[15]A01!$C$48+[15]A01!$C$51+[15]A01!$C$54+[15]A01!$C$57+[15]A01!$C$63</f>
        <v>188</v>
      </c>
      <c r="G8" s="625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236</v>
      </c>
      <c r="H8" s="625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370</v>
      </c>
      <c r="I8" s="625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352</v>
      </c>
      <c r="J8" s="625"/>
      <c r="K8" s="625"/>
      <c r="L8" s="625"/>
      <c r="M8" s="625"/>
      <c r="N8" s="625"/>
      <c r="O8" s="625"/>
      <c r="P8" s="625"/>
      <c r="Q8" s="276">
        <f t="shared" si="1"/>
        <v>1427</v>
      </c>
      <c r="R8" s="258"/>
      <c r="S8" s="625">
        <f>+[14]A04!$B$12</f>
        <v>713</v>
      </c>
      <c r="T8" s="625">
        <f>+[15]A04!$B$12</f>
        <v>2882</v>
      </c>
      <c r="U8" s="625">
        <f>+[16]A04!$B$12</f>
        <v>800</v>
      </c>
      <c r="V8" s="625">
        <f>+[17]A04!$B$12</f>
        <v>1088</v>
      </c>
      <c r="W8" s="625">
        <f>+[18]A04!$B$12</f>
        <v>1108</v>
      </c>
      <c r="X8" s="625"/>
      <c r="Y8" s="625"/>
      <c r="Z8" s="625"/>
      <c r="AA8" s="625"/>
      <c r="AB8" s="625"/>
      <c r="AC8" s="625"/>
      <c r="AD8" s="625"/>
      <c r="AE8" s="276">
        <f t="shared" si="2"/>
        <v>6591</v>
      </c>
      <c r="AF8" s="258"/>
      <c r="AG8" s="625">
        <f>+[14]A06!$C$12</f>
        <v>54</v>
      </c>
      <c r="AH8" s="625">
        <f>+[15]A06!$C$12</f>
        <v>45</v>
      </c>
      <c r="AI8" s="625">
        <f>+[16]A06!$C$12</f>
        <v>62</v>
      </c>
      <c r="AJ8" s="625">
        <f>+[17]A06!$C$12</f>
        <v>72</v>
      </c>
      <c r="AK8" s="625">
        <f>+[18]A06!$C$12</f>
        <v>47</v>
      </c>
      <c r="AL8" s="625"/>
      <c r="AM8" s="625"/>
      <c r="AN8" s="625"/>
      <c r="AO8" s="625"/>
      <c r="AP8" s="625"/>
      <c r="AQ8" s="625"/>
      <c r="AR8" s="625"/>
      <c r="AS8" s="276">
        <f t="shared" si="3"/>
        <v>280</v>
      </c>
      <c r="AT8" s="258"/>
      <c r="AU8" s="276">
        <v>0</v>
      </c>
      <c r="AV8" s="276">
        <v>0</v>
      </c>
      <c r="AW8" s="276">
        <v>0</v>
      </c>
      <c r="AX8" s="276">
        <v>0</v>
      </c>
      <c r="AY8" s="276">
        <v>0</v>
      </c>
      <c r="AZ8" s="276">
        <v>0</v>
      </c>
      <c r="BA8" s="276">
        <v>0</v>
      </c>
      <c r="BB8" s="276">
        <v>0</v>
      </c>
      <c r="BC8" s="276">
        <v>0</v>
      </c>
      <c r="BD8" s="276">
        <v>0</v>
      </c>
      <c r="BE8" s="276">
        <v>0</v>
      </c>
      <c r="BF8" s="276">
        <v>0</v>
      </c>
      <c r="BG8" s="276">
        <v>0</v>
      </c>
      <c r="BH8" s="258"/>
      <c r="BI8" s="276">
        <v>0</v>
      </c>
      <c r="BJ8" s="276">
        <v>0</v>
      </c>
      <c r="BK8" s="276">
        <v>0</v>
      </c>
      <c r="BL8" s="276">
        <v>0</v>
      </c>
      <c r="BM8" s="276">
        <v>0</v>
      </c>
      <c r="BN8" s="276">
        <v>0</v>
      </c>
      <c r="BO8" s="276">
        <v>0</v>
      </c>
      <c r="BP8" s="276">
        <v>0</v>
      </c>
      <c r="BQ8" s="276">
        <v>0</v>
      </c>
      <c r="BR8" s="276">
        <v>0</v>
      </c>
      <c r="BS8" s="276">
        <v>0</v>
      </c>
      <c r="BT8" s="276">
        <v>0</v>
      </c>
      <c r="BU8" s="276">
        <v>0</v>
      </c>
      <c r="BV8" s="258"/>
      <c r="BW8" s="625">
        <f>+[14]A23!$B$58+[14]A23!$B$63</f>
        <v>6</v>
      </c>
      <c r="BX8" s="625">
        <f>+[15]A23!$B$58+[15]A23!$B$63</f>
        <v>11</v>
      </c>
      <c r="BY8" s="625">
        <f>+[16]A23!$B$58+[16]A23!$B$63</f>
        <v>0</v>
      </c>
      <c r="BZ8" s="625">
        <f>+[17]A23!$B$58+[17]A23!$B$63</f>
        <v>25</v>
      </c>
      <c r="CA8" s="625">
        <f>+[18]A23!$B$58+[18]A23!$B$63</f>
        <v>22</v>
      </c>
      <c r="CB8" s="625"/>
      <c r="CC8" s="625"/>
      <c r="CD8" s="625"/>
      <c r="CE8" s="625"/>
      <c r="CF8" s="625"/>
      <c r="CG8" s="625"/>
      <c r="CH8" s="625"/>
      <c r="CI8" s="276">
        <f t="shared" si="4"/>
        <v>64</v>
      </c>
      <c r="CJ8" s="258"/>
      <c r="CK8" s="615">
        <f>+[14]A32!$B$28+[14]A32!$C$134+[14]A32!$C$145</f>
        <v>0</v>
      </c>
      <c r="CL8" s="615">
        <f>+[15]A32!$B$28+[15]A32!$C$134+[15]A32!$C$145</f>
        <v>0</v>
      </c>
      <c r="CM8" s="615">
        <f>+[16]A32!$B$28+[16]A32!$C$134+[16]A32!$C$145</f>
        <v>0</v>
      </c>
      <c r="CN8" s="615">
        <f>+[17]A32!$B$28+[17]A32!$C$134+[17]A32!$C$145</f>
        <v>0</v>
      </c>
      <c r="CO8" s="615">
        <f>+[18]A32!$B$28+[18]A32!$C$134+[18]A32!$C$145</f>
        <v>0</v>
      </c>
      <c r="CP8" s="258">
        <v>0</v>
      </c>
      <c r="CQ8" s="258">
        <v>0</v>
      </c>
      <c r="CR8" s="258">
        <v>0</v>
      </c>
      <c r="CS8" s="258">
        <v>0</v>
      </c>
      <c r="CT8" s="258">
        <v>0</v>
      </c>
      <c r="CU8" s="258">
        <v>0</v>
      </c>
      <c r="CV8" s="258">
        <v>0</v>
      </c>
      <c r="CW8" s="264">
        <v>0</v>
      </c>
      <c r="CX8" s="258"/>
      <c r="CY8" s="615">
        <f>+E8+S8+AG8+AU8+BI8+BW8+CK8</f>
        <v>1054</v>
      </c>
      <c r="CZ8" s="263">
        <f t="shared" si="0"/>
        <v>3126</v>
      </c>
      <c r="DA8" s="263">
        <f t="shared" si="0"/>
        <v>1098</v>
      </c>
      <c r="DB8" s="263">
        <f t="shared" si="0"/>
        <v>1555</v>
      </c>
      <c r="DC8" s="263">
        <f t="shared" si="0"/>
        <v>1529</v>
      </c>
      <c r="DD8" s="263">
        <f t="shared" si="0"/>
        <v>0</v>
      </c>
      <c r="DE8" s="263">
        <f t="shared" si="0"/>
        <v>0</v>
      </c>
      <c r="DF8" s="263">
        <f t="shared" si="0"/>
        <v>0</v>
      </c>
      <c r="DG8" s="263">
        <f t="shared" si="0"/>
        <v>0</v>
      </c>
      <c r="DH8" s="263">
        <f t="shared" si="0"/>
        <v>0</v>
      </c>
      <c r="DI8" s="263">
        <f t="shared" si="0"/>
        <v>0</v>
      </c>
      <c r="DJ8" s="263">
        <f t="shared" si="0"/>
        <v>0</v>
      </c>
      <c r="DK8" s="471">
        <f t="shared" si="6"/>
        <v>8362</v>
      </c>
      <c r="DL8" s="258"/>
      <c r="DM8" s="436">
        <f>SUM(([14]A07!$AE$136:$AF$136))-SUM(([14]A07!$AE$120:$AE$124), ([14]A07!$AE$129:$AE$131))+SUM(([14]A07!$AF$106), ([14]A07!$AF$120:$AF$124), ([14]A07!$AF$129:$AF$131))</f>
        <v>212</v>
      </c>
      <c r="DN8" s="436">
        <f>SUM(([15]A07!$AE$136:$AF$136))-SUM(([15]A07!$AE$120:$AE$124), ([15]A07!$AE$129:$AE$131))+SUM(([15]A07!$AF$106), ([15]A07!$AF$120:$AF$124), ([15]A07!$AF$129:$AF$131))</f>
        <v>191</v>
      </c>
      <c r="DO8" s="436">
        <f>SUM(([16]A07!$AE$136:$AF$136))-SUM(([16]A07!$AE$120:$AE$124), ([16]A07!$AE$129:$AE$131))+SUM(([16]A07!$AF$106), ([16]A07!$AF$120:$AF$124), ([16]A07!$AF$129:$AF$131))</f>
        <v>363</v>
      </c>
      <c r="DP8" s="436">
        <f>SUM(([17]A07!$AE$136:$AF$136))-SUM(([17]A07!$AE$120:$AE$124), ([17]A07!$AE$129:$AE$131))+SUM(([17]A07!$AF$106), ([17]A07!$AF$120:$AF$124), ([17]A07!$AF$129:$AF$131))</f>
        <v>128</v>
      </c>
      <c r="DQ8" s="436">
        <f>SUM(([18]A07!$AE$136:$AF$136))-SUM(([18]A07!$AE$120:$AE$124), ([18]A07!$AE$129:$AE$131))+SUM(([18]A07!$AF$106), ([18]A07!$AF$120:$AF$124), ([18]A07!$AF$129:$AF$131))</f>
        <v>176</v>
      </c>
      <c r="DR8" s="436"/>
      <c r="DS8" s="436"/>
      <c r="DT8" s="436"/>
      <c r="DU8" s="436"/>
      <c r="DV8" s="436"/>
      <c r="DW8" s="436"/>
      <c r="DX8" s="436"/>
      <c r="DY8" s="471">
        <f t="shared" si="7"/>
        <v>1070</v>
      </c>
      <c r="DZ8" s="258"/>
      <c r="EA8" s="281"/>
      <c r="EB8" s="258"/>
      <c r="EC8" s="258"/>
    </row>
    <row r="9" spans="2:215" s="260" customFormat="1" ht="12" x14ac:dyDescent="0.2">
      <c r="B9" s="150">
        <v>107356</v>
      </c>
      <c r="C9" s="151" t="s">
        <v>98</v>
      </c>
      <c r="E9" s="625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585</v>
      </c>
      <c r="F9" s="625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260</v>
      </c>
      <c r="G9" s="625">
        <f>+[22]A01!$C$11+[22]A01!$C$13+[22]A01!$C$15+[22]A01!$C$17+[22]A01!$C$19+[22]A01!$C$21+[22]A01!$C$23+[22]A01!$C$25+[22]A01!$C$27+[22]A01!$C$29+[22]A01!$C$31+[22]A01!$C$36+[22]A01!$C$44+[22]A01!$C$48+[22]A01!$C$51+[22]A01!$C$54+[22]A01!$C$57+[22]A01!$C$63</f>
        <v>285</v>
      </c>
      <c r="H9" s="625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462</v>
      </c>
      <c r="I9" s="625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631</v>
      </c>
      <c r="J9" s="625"/>
      <c r="K9" s="625"/>
      <c r="L9" s="625"/>
      <c r="M9" s="625"/>
      <c r="N9" s="625"/>
      <c r="O9" s="625"/>
      <c r="P9" s="625"/>
      <c r="Q9" s="276">
        <f>SUM(E9:P9)</f>
        <v>2223</v>
      </c>
      <c r="R9" s="258"/>
      <c r="S9" s="625">
        <f>+[20]A04!$B$12</f>
        <v>1773</v>
      </c>
      <c r="T9" s="625">
        <f>+[21]A04!$B$12</f>
        <v>421</v>
      </c>
      <c r="U9" s="625">
        <f>+[22]A04!$B$12</f>
        <v>988</v>
      </c>
      <c r="V9" s="625">
        <f>+[23]A04!$B$12</f>
        <v>885</v>
      </c>
      <c r="W9" s="625">
        <f>+[24]A04!$B$12</f>
        <v>869</v>
      </c>
      <c r="X9" s="625"/>
      <c r="Y9" s="625"/>
      <c r="Z9" s="625"/>
      <c r="AA9" s="625"/>
      <c r="AB9" s="625"/>
      <c r="AC9" s="625"/>
      <c r="AD9" s="625"/>
      <c r="AE9" s="276">
        <f t="shared" si="2"/>
        <v>4936</v>
      </c>
      <c r="AF9" s="258"/>
      <c r="AG9" s="625">
        <f>+[20]A06!$C$12</f>
        <v>120</v>
      </c>
      <c r="AH9" s="625">
        <f>+[21]A06!$C$12</f>
        <v>78</v>
      </c>
      <c r="AI9" s="625">
        <f>+[22]A06!$C$12</f>
        <v>83</v>
      </c>
      <c r="AJ9" s="625">
        <f>+[23]A06!$C$12</f>
        <v>90</v>
      </c>
      <c r="AK9" s="625">
        <f>+[24]A06!$C$12</f>
        <v>92</v>
      </c>
      <c r="AL9" s="625"/>
      <c r="AM9" s="625"/>
      <c r="AN9" s="625"/>
      <c r="AO9" s="625"/>
      <c r="AP9" s="625"/>
      <c r="AQ9" s="625"/>
      <c r="AR9" s="625"/>
      <c r="AS9" s="276">
        <f t="shared" si="3"/>
        <v>463</v>
      </c>
      <c r="AT9" s="258"/>
      <c r="AU9" s="276">
        <v>0</v>
      </c>
      <c r="AV9" s="276">
        <v>0</v>
      </c>
      <c r="AW9" s="276">
        <v>0</v>
      </c>
      <c r="AX9" s="276">
        <v>0</v>
      </c>
      <c r="AY9" s="276">
        <v>0</v>
      </c>
      <c r="AZ9" s="276">
        <v>0</v>
      </c>
      <c r="BA9" s="276">
        <v>0</v>
      </c>
      <c r="BB9" s="276">
        <v>0</v>
      </c>
      <c r="BC9" s="276">
        <v>0</v>
      </c>
      <c r="BD9" s="276">
        <v>0</v>
      </c>
      <c r="BE9" s="276">
        <v>0</v>
      </c>
      <c r="BF9" s="276">
        <v>0</v>
      </c>
      <c r="BG9" s="276">
        <v>0</v>
      </c>
      <c r="BH9" s="258"/>
      <c r="BI9" s="276">
        <v>0</v>
      </c>
      <c r="BJ9" s="276">
        <v>0</v>
      </c>
      <c r="BK9" s="276">
        <v>0</v>
      </c>
      <c r="BL9" s="276">
        <v>0</v>
      </c>
      <c r="BM9" s="276">
        <v>0</v>
      </c>
      <c r="BN9" s="276">
        <v>0</v>
      </c>
      <c r="BO9" s="276">
        <v>0</v>
      </c>
      <c r="BP9" s="276">
        <v>0</v>
      </c>
      <c r="BQ9" s="276">
        <v>0</v>
      </c>
      <c r="BR9" s="276">
        <v>0</v>
      </c>
      <c r="BS9" s="276">
        <v>0</v>
      </c>
      <c r="BT9" s="276">
        <v>0</v>
      </c>
      <c r="BU9" s="276">
        <v>0</v>
      </c>
      <c r="BV9" s="258"/>
      <c r="BW9" s="625">
        <f>+[20]A23!$B$58+[20]A23!$B$63</f>
        <v>0</v>
      </c>
      <c r="BX9" s="625">
        <f>+[21]A23!$B$58+[21]A23!$B$63</f>
        <v>10</v>
      </c>
      <c r="BY9" s="625">
        <f>+[22]A23!$B$58+[22]A23!$B$63</f>
        <v>0</v>
      </c>
      <c r="BZ9" s="625">
        <f>+[23]A23!$B$58+[23]A23!$B$63</f>
        <v>17</v>
      </c>
      <c r="CA9" s="625">
        <f>+[24]A23!$B$58+[24]A23!$B$63</f>
        <v>14</v>
      </c>
      <c r="CB9" s="625"/>
      <c r="CC9" s="625"/>
      <c r="CD9" s="625"/>
      <c r="CE9" s="625"/>
      <c r="CF9" s="625"/>
      <c r="CG9" s="625"/>
      <c r="CH9" s="625"/>
      <c r="CI9" s="276">
        <f t="shared" si="4"/>
        <v>41</v>
      </c>
      <c r="CJ9" s="258"/>
      <c r="CK9" s="615">
        <f>+[20]A32!$B$28+[20]A32!$C$134+[20]A32!$C$145</f>
        <v>0</v>
      </c>
      <c r="CL9" s="615">
        <f>+[21]A32!$B$28+[21]A32!$C$134+[21]A32!$C$145</f>
        <v>0</v>
      </c>
      <c r="CM9" s="615">
        <f>+[22]A32!$B$28+[22]A32!$C$134+[22]A32!$C$145</f>
        <v>0</v>
      </c>
      <c r="CN9" s="615">
        <f>+[23]A32!$B$28+[23]A32!$C$134+[23]A32!$C$145</f>
        <v>0</v>
      </c>
      <c r="CO9" s="615">
        <f>+[24]A32!$B$28+[24]A32!$C$134+[24]A32!$C$145</f>
        <v>0</v>
      </c>
      <c r="CP9" s="258">
        <v>0</v>
      </c>
      <c r="CQ9" s="258">
        <v>0</v>
      </c>
      <c r="CR9" s="258">
        <v>0</v>
      </c>
      <c r="CS9" s="258">
        <v>0</v>
      </c>
      <c r="CT9" s="258">
        <v>0</v>
      </c>
      <c r="CU9" s="258">
        <v>0</v>
      </c>
      <c r="CV9" s="258">
        <v>0</v>
      </c>
      <c r="CW9" s="264">
        <v>0</v>
      </c>
      <c r="CX9" s="258"/>
      <c r="CY9" s="263">
        <f t="shared" si="5"/>
        <v>2478</v>
      </c>
      <c r="CZ9" s="263">
        <f t="shared" si="0"/>
        <v>769</v>
      </c>
      <c r="DA9" s="263">
        <f t="shared" si="0"/>
        <v>1356</v>
      </c>
      <c r="DB9" s="263">
        <f t="shared" si="0"/>
        <v>1454</v>
      </c>
      <c r="DC9" s="263">
        <f t="shared" si="0"/>
        <v>1606</v>
      </c>
      <c r="DD9" s="263">
        <f t="shared" si="0"/>
        <v>0</v>
      </c>
      <c r="DE9" s="263">
        <f t="shared" si="0"/>
        <v>0</v>
      </c>
      <c r="DF9" s="263">
        <f t="shared" si="0"/>
        <v>0</v>
      </c>
      <c r="DG9" s="263">
        <f t="shared" si="0"/>
        <v>0</v>
      </c>
      <c r="DH9" s="263">
        <f t="shared" si="0"/>
        <v>0</v>
      </c>
      <c r="DI9" s="263">
        <f t="shared" si="0"/>
        <v>0</v>
      </c>
      <c r="DJ9" s="263">
        <f t="shared" si="0"/>
        <v>0</v>
      </c>
      <c r="DK9" s="471">
        <f>SUM(CY9:DJ9)</f>
        <v>7663</v>
      </c>
      <c r="DL9" s="258"/>
      <c r="DM9" s="436">
        <f>SUM(([20]A07!$AE$136:$AF$136))-SUM(([20]A07!$AE$120:$AE$124), ([20]A07!$AE$129:$AE$131))+SUM(([20]A07!$AF$106), ([20]A07!$AF$120:$AF$124), ([20]A07!$AF$129:$AF$131))</f>
        <v>299</v>
      </c>
      <c r="DN9" s="436">
        <f>SUM(([21]A07!$AE$136:$AF$136))-SUM(([21]A07!$AE$120:$AE$124), ([21]A07!$AE$129:$AE$131))+SUM(([21]A07!$AF$106), ([21]A07!$AF$120:$AF$124), ([21]A07!$AF$129:$AF$131))</f>
        <v>271</v>
      </c>
      <c r="DO9" s="436">
        <f>SUM(([22]A07!$AE$136:$AF$136))-SUM(([22]A07!$AE$120:$AE$124), ([22]A07!$AE$129:$AE$131))+SUM(([22]A07!$AF$106), ([22]A07!$AF$120:$AF$124), ([22]A07!$AF$129:$AF$131))</f>
        <v>233</v>
      </c>
      <c r="DP9" s="436">
        <f>SUM(([23]A07!$AE$136:$AF$136))-SUM(([23]A07!$AE$120:$AE$124), ([23]A07!$AE$129:$AE$131))+SUM(([23]A07!$AF$106), ([23]A07!$AF$120:$AF$124), ([23]A07!$AF$129:$AF$131))</f>
        <v>239</v>
      </c>
      <c r="DQ9" s="436">
        <f>SUM(([24]A07!$AE$136:$AF$136))-SUM(([24]A07!$AE$120:$AE$124), ([24]A07!$AE$129:$AE$131))+SUM(([24]A07!$AF$106), ([24]A07!$AF$120:$AF$124), ([24]A07!$AF$129:$AF$131))</f>
        <v>175</v>
      </c>
      <c r="DR9" s="436"/>
      <c r="DS9" s="436"/>
      <c r="DT9" s="436"/>
      <c r="DU9" s="436"/>
      <c r="DV9" s="436"/>
      <c r="DW9" s="436"/>
      <c r="DX9" s="436"/>
      <c r="DY9" s="471">
        <f t="shared" si="7"/>
        <v>1217</v>
      </c>
      <c r="DZ9" s="258"/>
      <c r="EA9" s="281"/>
      <c r="EB9" s="258"/>
      <c r="EC9" s="258"/>
    </row>
    <row r="10" spans="2:215" s="260" customFormat="1" ht="12" x14ac:dyDescent="0.2">
      <c r="B10" s="150">
        <v>107357</v>
      </c>
      <c r="C10" s="151" t="s">
        <v>99</v>
      </c>
      <c r="E10" s="625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164</v>
      </c>
      <c r="F10" s="625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210</v>
      </c>
      <c r="G10" s="625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348</v>
      </c>
      <c r="H10" s="625">
        <f>+[29]A01!$C$11+[29]A01!$C$13+[29]A01!$C$15+[29]A01!$C$17+[29]A01!$C$19+[29]A01!$C$21+[29]A01!$C$23+[29]A01!$C$25+[29]A01!$C$27+[29]A01!$C$29+[29]A01!$C$31+[29]A01!$C$36+[29]A01!$C$44+[29]A01!$C$48+[29]A01!$C$51+[29]A01!$C$54+[29]A01!$C$57+[29]A01!$C$63</f>
        <v>241</v>
      </c>
      <c r="I10" s="625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213</v>
      </c>
      <c r="J10" s="625"/>
      <c r="K10" s="625"/>
      <c r="L10" s="625"/>
      <c r="M10" s="625"/>
      <c r="N10" s="625"/>
      <c r="O10" s="625"/>
      <c r="P10" s="625"/>
      <c r="Q10" s="276">
        <f t="shared" ref="Q10:Q12" si="8">SUM(E10:P10)</f>
        <v>1176</v>
      </c>
      <c r="R10" s="258"/>
      <c r="S10" s="625">
        <f>+[26]A04!$B$12</f>
        <v>1015</v>
      </c>
      <c r="T10" s="625">
        <f>+[27]A04!$B$12</f>
        <v>1621</v>
      </c>
      <c r="U10" s="625">
        <f>+[28]A04!$B$12</f>
        <v>1690</v>
      </c>
      <c r="V10" s="625">
        <f>+[29]A04!$B$12</f>
        <v>2150</v>
      </c>
      <c r="W10" s="625">
        <f>+[30]A04!$B$12</f>
        <v>1540</v>
      </c>
      <c r="X10" s="625"/>
      <c r="Y10" s="625"/>
      <c r="Z10" s="625"/>
      <c r="AA10" s="625"/>
      <c r="AB10" s="625"/>
      <c r="AC10" s="625"/>
      <c r="AD10" s="625"/>
      <c r="AE10" s="276">
        <f t="shared" si="2"/>
        <v>8016</v>
      </c>
      <c r="AF10" s="258"/>
      <c r="AG10" s="625">
        <f>+[26]A06!$C$12</f>
        <v>87</v>
      </c>
      <c r="AH10" s="625">
        <f>+[27]A06!$C$12</f>
        <v>67</v>
      </c>
      <c r="AI10" s="625">
        <f>+[28]A06!$C$12</f>
        <v>123</v>
      </c>
      <c r="AJ10" s="625">
        <f>+[29]A06!$C$12</f>
        <v>184</v>
      </c>
      <c r="AK10" s="625">
        <f>+[30]A06!$C$12</f>
        <v>116</v>
      </c>
      <c r="AL10" s="625"/>
      <c r="AM10" s="625"/>
      <c r="AN10" s="625"/>
      <c r="AO10" s="625"/>
      <c r="AP10" s="625"/>
      <c r="AQ10" s="625"/>
      <c r="AR10" s="625"/>
      <c r="AS10" s="276">
        <f t="shared" si="3"/>
        <v>577</v>
      </c>
      <c r="AT10" s="258"/>
      <c r="AU10" s="276">
        <v>0</v>
      </c>
      <c r="AV10" s="276">
        <v>0</v>
      </c>
      <c r="AW10" s="276">
        <v>0</v>
      </c>
      <c r="AX10" s="276">
        <v>0</v>
      </c>
      <c r="AY10" s="276">
        <v>0</v>
      </c>
      <c r="AZ10" s="276">
        <v>0</v>
      </c>
      <c r="BA10" s="276">
        <v>0</v>
      </c>
      <c r="BB10" s="276">
        <v>0</v>
      </c>
      <c r="BC10" s="276">
        <v>0</v>
      </c>
      <c r="BD10" s="276">
        <v>0</v>
      </c>
      <c r="BE10" s="276">
        <v>0</v>
      </c>
      <c r="BF10" s="276">
        <v>0</v>
      </c>
      <c r="BG10" s="276">
        <v>0</v>
      </c>
      <c r="BH10" s="258"/>
      <c r="BI10" s="276">
        <v>0</v>
      </c>
      <c r="BJ10" s="276">
        <v>0</v>
      </c>
      <c r="BK10" s="276">
        <v>0</v>
      </c>
      <c r="BL10" s="276">
        <v>0</v>
      </c>
      <c r="BM10" s="276">
        <v>0</v>
      </c>
      <c r="BN10" s="276">
        <v>0</v>
      </c>
      <c r="BO10" s="276">
        <v>0</v>
      </c>
      <c r="BP10" s="276">
        <v>0</v>
      </c>
      <c r="BQ10" s="276">
        <v>0</v>
      </c>
      <c r="BR10" s="276">
        <v>0</v>
      </c>
      <c r="BS10" s="276">
        <v>0</v>
      </c>
      <c r="BT10" s="276">
        <v>0</v>
      </c>
      <c r="BU10" s="276">
        <v>0</v>
      </c>
      <c r="BV10" s="258"/>
      <c r="BW10" s="625">
        <f>+[26]A23!$B$58+[26]A23!$B$63</f>
        <v>0</v>
      </c>
      <c r="BX10" s="625">
        <f>+[27]A23!$B$58+[27]A23!$B$63</f>
        <v>8</v>
      </c>
      <c r="BY10" s="625">
        <f>+[28]A23!$B$58+[28]A23!$B$63</f>
        <v>10</v>
      </c>
      <c r="BZ10" s="625">
        <f>+[29]A23!$B$58+[29]A23!$B$63</f>
        <v>0</v>
      </c>
      <c r="CA10" s="625">
        <f>+[30]A23!$B$58+[30]A23!$B$63</f>
        <v>19</v>
      </c>
      <c r="CB10" s="625"/>
      <c r="CC10" s="625"/>
      <c r="CD10" s="625"/>
      <c r="CE10" s="625"/>
      <c r="CF10" s="625"/>
      <c r="CG10" s="625"/>
      <c r="CH10" s="625"/>
      <c r="CI10" s="276">
        <f t="shared" si="4"/>
        <v>37</v>
      </c>
      <c r="CJ10" s="258"/>
      <c r="CK10" s="615">
        <f>+[26]A32!$B$28+[26]A32!$C$134+[26]A32!$C$145</f>
        <v>0</v>
      </c>
      <c r="CL10" s="615">
        <f>+[27]A32!$B$28+[27]A32!$C$134+[27]A32!$C$145</f>
        <v>0</v>
      </c>
      <c r="CM10" s="615">
        <f>+[28]A32!$B$28+[28]A32!$C$134+[28]A32!$C$145</f>
        <v>0</v>
      </c>
      <c r="CN10" s="615">
        <f>+[29]A32!$B$28+[29]A32!$C$134+[29]A32!$C$145</f>
        <v>0</v>
      </c>
      <c r="CO10" s="615">
        <f>+[30]A32!$B$28+[30]A32!$C$134+[30]A32!$C$145</f>
        <v>0</v>
      </c>
      <c r="CP10" s="258">
        <v>0</v>
      </c>
      <c r="CQ10" s="258">
        <v>0</v>
      </c>
      <c r="CR10" s="258">
        <v>0</v>
      </c>
      <c r="CS10" s="258">
        <v>0</v>
      </c>
      <c r="CT10" s="258">
        <v>0</v>
      </c>
      <c r="CU10" s="258">
        <v>0</v>
      </c>
      <c r="CV10" s="258">
        <v>0</v>
      </c>
      <c r="CW10" s="264">
        <v>0</v>
      </c>
      <c r="CX10" s="258"/>
      <c r="CY10" s="263">
        <f t="shared" si="5"/>
        <v>1266</v>
      </c>
      <c r="CZ10" s="263">
        <f t="shared" si="0"/>
        <v>1906</v>
      </c>
      <c r="DA10" s="263">
        <f t="shared" si="0"/>
        <v>2171</v>
      </c>
      <c r="DB10" s="263">
        <f t="shared" si="0"/>
        <v>2575</v>
      </c>
      <c r="DC10" s="263">
        <f t="shared" si="0"/>
        <v>1888</v>
      </c>
      <c r="DD10" s="263">
        <f t="shared" si="0"/>
        <v>0</v>
      </c>
      <c r="DE10" s="263">
        <f t="shared" si="0"/>
        <v>0</v>
      </c>
      <c r="DF10" s="263">
        <f t="shared" si="0"/>
        <v>0</v>
      </c>
      <c r="DG10" s="263">
        <f t="shared" si="0"/>
        <v>0</v>
      </c>
      <c r="DH10" s="263">
        <f t="shared" si="0"/>
        <v>0</v>
      </c>
      <c r="DI10" s="263">
        <f t="shared" si="0"/>
        <v>0</v>
      </c>
      <c r="DJ10" s="263">
        <f t="shared" si="0"/>
        <v>0</v>
      </c>
      <c r="DK10" s="471">
        <f t="shared" si="6"/>
        <v>9806</v>
      </c>
      <c r="DL10" s="258"/>
      <c r="DM10" s="436">
        <f>SUM(([26]A07!$AE$136:$AF$136))-SUM(([26]A07!$AE$120:$AE$124), ([26]A07!$AE$129:$AE$131))+SUM(([26]A07!$AF$106), ([26]A07!$AF$120:$AF$124), ([26]A07!$AF$129:$AF$131))</f>
        <v>545</v>
      </c>
      <c r="DN10" s="436">
        <f>SUM(([27]A07!$AE$136:$AF$136))-SUM(([27]A07!$AE$120:$AE$124), ([27]A07!$AE$129:$AE$131))+SUM(([27]A07!$AF$106), ([27]A07!$AF$120:$AF$124), ([27]A07!$AF$129:$AF$131))</f>
        <v>597</v>
      </c>
      <c r="DO10" s="436">
        <f>SUM(([28]A07!$AE$136:$AF$136))-SUM(([28]A07!$AE$120:$AE$124), ([28]A07!$AE$129:$AE$131))+SUM(([28]A07!$AF$106), ([28]A07!$AF$120:$AF$124), ([28]A07!$AF$129:$AF$131))</f>
        <v>635</v>
      </c>
      <c r="DP10" s="436">
        <f>SUM(([29]A07!$AE$136:$AF$136))-SUM(([29]A07!$AE$120:$AE$124), ([29]A07!$AE$129:$AE$131))+SUM(([29]A07!$AF$106), ([29]A07!$AF$120:$AF$124), ([29]A07!$AF$129:$AF$131))</f>
        <v>717</v>
      </c>
      <c r="DQ10" s="436">
        <f>SUM(([30]A07!$AE$136:$AF$136))-SUM(([30]A07!$AE$120:$AE$124), ([30]A07!$AE$129:$AE$131))+SUM(([30]A07!$AF$106), ([30]A07!$AF$120:$AF$124), ([30]A07!$AF$129:$AF$131))</f>
        <v>516</v>
      </c>
      <c r="DR10" s="436"/>
      <c r="DS10" s="436"/>
      <c r="DT10" s="436"/>
      <c r="DU10" s="436"/>
      <c r="DV10" s="436"/>
      <c r="DW10" s="436"/>
      <c r="DX10" s="436"/>
      <c r="DY10" s="471">
        <f t="shared" si="7"/>
        <v>3010</v>
      </c>
      <c r="DZ10" s="258"/>
      <c r="EA10" s="281"/>
      <c r="EB10" s="258"/>
      <c r="EC10" s="258"/>
    </row>
    <row r="11" spans="2:215" s="260" customFormat="1" ht="12" x14ac:dyDescent="0.2">
      <c r="B11" s="150">
        <v>107400</v>
      </c>
      <c r="C11" s="151" t="s">
        <v>100</v>
      </c>
      <c r="E11" s="625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36</v>
      </c>
      <c r="F11" s="625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5</v>
      </c>
      <c r="G11" s="625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11</v>
      </c>
      <c r="H11" s="625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22</v>
      </c>
      <c r="I11" s="625">
        <f>+[36]A01!$C$11+[36]A01!$C$13+[36]A01!$C$15+[36]A01!$C$17+[36]A01!$C$19+[36]A01!$C$21+[36]A01!$C$23+[36]A01!$C$25+[36]A01!$C$27+[36]A01!$C$29+[36]A01!$C$31+[36]A01!$C$36+[36]A01!$C$44+[36]A01!$C$48+[36]A01!$C$51+[36]A01!$C$54+[36]A01!$C$57+[36]A01!$C$63</f>
        <v>24</v>
      </c>
      <c r="J11" s="625"/>
      <c r="K11" s="625"/>
      <c r="L11" s="625"/>
      <c r="M11" s="625"/>
      <c r="N11" s="625"/>
      <c r="O11" s="625"/>
      <c r="P11" s="625"/>
      <c r="Q11" s="276">
        <f t="shared" si="8"/>
        <v>98</v>
      </c>
      <c r="R11" s="258"/>
      <c r="S11" s="625">
        <f>+[32]A04!$B$12</f>
        <v>35</v>
      </c>
      <c r="T11" s="625">
        <f>+[33]A04!$B$12</f>
        <v>21</v>
      </c>
      <c r="U11" s="625">
        <f>+[34]A04!$B$12</f>
        <v>24</v>
      </c>
      <c r="V11" s="625">
        <f>+[35]A04!$B$12</f>
        <v>43</v>
      </c>
      <c r="W11" s="625">
        <f>+[36]A04!$B$12</f>
        <v>32</v>
      </c>
      <c r="X11" s="625"/>
      <c r="Y11" s="625"/>
      <c r="Z11" s="625"/>
      <c r="AA11" s="625"/>
      <c r="AB11" s="625"/>
      <c r="AC11" s="625"/>
      <c r="AD11" s="625"/>
      <c r="AE11" s="276">
        <f t="shared" si="2"/>
        <v>155</v>
      </c>
      <c r="AF11" s="258"/>
      <c r="AG11" s="625">
        <f>+[32]A06!$C$12</f>
        <v>2</v>
      </c>
      <c r="AH11" s="625">
        <f>+[33]A06!$C$12</f>
        <v>0</v>
      </c>
      <c r="AI11" s="625">
        <f>+[34]A06!$C$12</f>
        <v>2</v>
      </c>
      <c r="AJ11" s="625">
        <f>+[35]A06!$C$12</f>
        <v>2</v>
      </c>
      <c r="AK11" s="625">
        <f>+[36]A06!$C$12</f>
        <v>2</v>
      </c>
      <c r="AL11" s="625"/>
      <c r="AM11" s="625"/>
      <c r="AN11" s="625"/>
      <c r="AO11" s="625"/>
      <c r="AP11" s="625"/>
      <c r="AQ11" s="625"/>
      <c r="AR11" s="625"/>
      <c r="AS11" s="276">
        <f t="shared" si="3"/>
        <v>8</v>
      </c>
      <c r="AT11" s="258"/>
      <c r="AU11" s="276">
        <v>0</v>
      </c>
      <c r="AV11" s="276">
        <v>0</v>
      </c>
      <c r="AW11" s="276">
        <v>0</v>
      </c>
      <c r="AX11" s="276">
        <v>0</v>
      </c>
      <c r="AY11" s="276">
        <v>0</v>
      </c>
      <c r="AZ11" s="276">
        <v>0</v>
      </c>
      <c r="BA11" s="276">
        <v>0</v>
      </c>
      <c r="BB11" s="276">
        <v>0</v>
      </c>
      <c r="BC11" s="276">
        <v>0</v>
      </c>
      <c r="BD11" s="276">
        <v>0</v>
      </c>
      <c r="BE11" s="276">
        <v>0</v>
      </c>
      <c r="BF11" s="276">
        <v>0</v>
      </c>
      <c r="BG11" s="276">
        <v>0</v>
      </c>
      <c r="BH11" s="258"/>
      <c r="BI11" s="276">
        <v>0</v>
      </c>
      <c r="BJ11" s="276">
        <v>0</v>
      </c>
      <c r="BK11" s="276">
        <v>0</v>
      </c>
      <c r="BL11" s="276">
        <v>0</v>
      </c>
      <c r="BM11" s="276">
        <v>0</v>
      </c>
      <c r="BN11" s="276">
        <v>0</v>
      </c>
      <c r="BO11" s="276">
        <v>0</v>
      </c>
      <c r="BP11" s="276">
        <v>0</v>
      </c>
      <c r="BQ11" s="276">
        <v>0</v>
      </c>
      <c r="BR11" s="276">
        <v>0</v>
      </c>
      <c r="BS11" s="276">
        <v>0</v>
      </c>
      <c r="BT11" s="276">
        <v>0</v>
      </c>
      <c r="BU11" s="276">
        <v>0</v>
      </c>
      <c r="BV11" s="258"/>
      <c r="BW11" s="625">
        <f>+[32]A23!$B$58+[32]A23!$B$63</f>
        <v>0</v>
      </c>
      <c r="BX11" s="625">
        <f>+[33]A23!$B$58+[33]A23!$B$63</f>
        <v>0</v>
      </c>
      <c r="BY11" s="625">
        <f>+[34]A23!$B$58+[34]A23!$B$63</f>
        <v>0</v>
      </c>
      <c r="BZ11" s="625">
        <f>+[35]A23!$B$58+[35]A23!$B$63</f>
        <v>0</v>
      </c>
      <c r="CA11" s="625">
        <f>+[36]A23!$B$58+[36]A23!$B$63</f>
        <v>0</v>
      </c>
      <c r="CB11" s="625"/>
      <c r="CC11" s="625"/>
      <c r="CD11" s="625"/>
      <c r="CE11" s="625"/>
      <c r="CF11" s="625"/>
      <c r="CG11" s="625"/>
      <c r="CH11" s="625"/>
      <c r="CI11" s="276">
        <f t="shared" si="4"/>
        <v>0</v>
      </c>
      <c r="CJ11" s="258"/>
      <c r="CK11" s="615">
        <f>+[32]A32!$B$28+[32]A32!$C$134+[32]A32!$C$145</f>
        <v>0</v>
      </c>
      <c r="CL11" s="615">
        <f>+[33]A32!$B$28+[33]A32!$C$134+[33]A32!$C$145</f>
        <v>0</v>
      </c>
      <c r="CM11" s="615">
        <f>+[34]A32!$B$28+[34]A32!$C$134+[34]A32!$C$145</f>
        <v>0</v>
      </c>
      <c r="CN11" s="615">
        <f>+[35]A32!$B$28+[35]A32!$C$134+[35]A32!$C$145</f>
        <v>0</v>
      </c>
      <c r="CO11" s="615">
        <f>+[36]A32!$B$28+[36]A32!$C$134+[36]A32!$C$145</f>
        <v>0</v>
      </c>
      <c r="CP11" s="258">
        <v>0</v>
      </c>
      <c r="CQ11" s="258">
        <v>0</v>
      </c>
      <c r="CR11" s="258">
        <v>0</v>
      </c>
      <c r="CS11" s="258">
        <v>0</v>
      </c>
      <c r="CT11" s="258">
        <v>0</v>
      </c>
      <c r="CU11" s="258">
        <v>0</v>
      </c>
      <c r="CV11" s="258">
        <v>0</v>
      </c>
      <c r="CW11" s="264">
        <v>0</v>
      </c>
      <c r="CX11" s="258"/>
      <c r="CY11" s="263">
        <f t="shared" si="5"/>
        <v>73</v>
      </c>
      <c r="CZ11" s="263">
        <f t="shared" si="0"/>
        <v>26</v>
      </c>
      <c r="DA11" s="263">
        <f t="shared" si="0"/>
        <v>37</v>
      </c>
      <c r="DB11" s="263">
        <f t="shared" si="0"/>
        <v>67</v>
      </c>
      <c r="DC11" s="263">
        <f t="shared" si="0"/>
        <v>58</v>
      </c>
      <c r="DD11" s="263">
        <f t="shared" si="0"/>
        <v>0</v>
      </c>
      <c r="DE11" s="263">
        <f t="shared" si="0"/>
        <v>0</v>
      </c>
      <c r="DF11" s="263">
        <f t="shared" si="0"/>
        <v>0</v>
      </c>
      <c r="DG11" s="263">
        <f t="shared" si="0"/>
        <v>0</v>
      </c>
      <c r="DH11" s="263">
        <f t="shared" si="0"/>
        <v>0</v>
      </c>
      <c r="DI11" s="263">
        <f t="shared" si="0"/>
        <v>0</v>
      </c>
      <c r="DJ11" s="263">
        <f t="shared" si="0"/>
        <v>0</v>
      </c>
      <c r="DK11" s="471">
        <f t="shared" si="6"/>
        <v>261</v>
      </c>
      <c r="DL11" s="258"/>
      <c r="DM11" s="436">
        <f>SUM(([32]A07!$AE$136:$AF$136))-SUM(([32]A07!$AE$120:$AE$124), ([32]A07!$AE$129:$AE$131))+SUM(([32]A07!$AF$106), ([32]A07!$AF$120:$AF$124), ([32]A07!$AF$129:$AF$131))</f>
        <v>9</v>
      </c>
      <c r="DN11" s="436">
        <f>SUM(([33]A07!$AE$136:$AF$136))-SUM(([33]A07!$AE$120:$AE$124), ([33]A07!$AE$129:$AE$131))+SUM(([33]A07!$AF$106), ([33]A07!$AF$120:$AF$124), ([33]A07!$AF$129:$AF$131))</f>
        <v>9</v>
      </c>
      <c r="DO11" s="436">
        <f>SUM(([34]A07!$AE$136:$AF$136))-SUM(([34]A07!$AE$120:$AE$124), ([34]A07!$AE$129:$AE$131))+SUM(([34]A07!$AF$106), ([34]A07!$AF$120:$AF$124), ([34]A07!$AF$129:$AF$131))</f>
        <v>9</v>
      </c>
      <c r="DP11" s="436">
        <f>SUM(([35]A07!$AE$136:$AF$136))-SUM(([35]A07!$AE$120:$AE$124), ([35]A07!$AE$129:$AE$131))+SUM(([35]A07!$AF$106), ([35]A07!$AF$120:$AF$124), ([35]A07!$AF$129:$AF$131))</f>
        <v>9</v>
      </c>
      <c r="DQ11" s="436">
        <f>SUM(([36]A07!$AE$136:$AF$136))-SUM(([36]A07!$AE$120:$AE$124), ([36]A07!$AE$129:$AE$131))+SUM(([36]A07!$AF$106), ([36]A07!$AF$120:$AF$124), ([36]A07!$AF$129:$AF$131))</f>
        <v>9</v>
      </c>
      <c r="DR11" s="436"/>
      <c r="DS11" s="436"/>
      <c r="DT11" s="436"/>
      <c r="DU11" s="436"/>
      <c r="DV11" s="436"/>
      <c r="DW11" s="436"/>
      <c r="DX11" s="436"/>
      <c r="DY11" s="471">
        <f t="shared" si="7"/>
        <v>45</v>
      </c>
      <c r="DZ11" s="258"/>
      <c r="EA11" s="281"/>
      <c r="EB11" s="258"/>
      <c r="EC11" s="258"/>
    </row>
    <row r="12" spans="2:215" s="260" customFormat="1" thickBot="1" x14ac:dyDescent="0.25">
      <c r="B12" s="152">
        <v>107756</v>
      </c>
      <c r="C12" s="153" t="s">
        <v>101</v>
      </c>
      <c r="D12" s="266"/>
      <c r="E12" s="625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91</v>
      </c>
      <c r="F12" s="625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107</v>
      </c>
      <c r="G12" s="625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95</v>
      </c>
      <c r="H12" s="625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15</v>
      </c>
      <c r="I12" s="625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190</v>
      </c>
      <c r="J12" s="625"/>
      <c r="K12" s="625"/>
      <c r="L12" s="625"/>
      <c r="M12" s="625"/>
      <c r="N12" s="625"/>
      <c r="O12" s="625"/>
      <c r="P12" s="625"/>
      <c r="Q12" s="276">
        <f t="shared" si="8"/>
        <v>498</v>
      </c>
      <c r="R12" s="258"/>
      <c r="S12" s="625">
        <f>+[38]A04!$B$12</f>
        <v>445</v>
      </c>
      <c r="T12" s="625">
        <f>+[39]A04!$B$12</f>
        <v>304</v>
      </c>
      <c r="U12" s="625">
        <f>+[40]A04!$B$12</f>
        <v>404</v>
      </c>
      <c r="V12" s="625">
        <f>+[41]A04!$B$12</f>
        <v>557</v>
      </c>
      <c r="W12" s="625">
        <f>+[42]A04!$B$12</f>
        <v>490</v>
      </c>
      <c r="X12" s="625"/>
      <c r="Y12" s="625"/>
      <c r="Z12" s="625"/>
      <c r="AA12" s="625"/>
      <c r="AB12" s="625"/>
      <c r="AC12" s="625"/>
      <c r="AD12" s="625"/>
      <c r="AE12" s="276">
        <f t="shared" si="2"/>
        <v>2200</v>
      </c>
      <c r="AF12" s="258"/>
      <c r="AG12" s="625">
        <f>+[38]A06!$C$12</f>
        <v>58</v>
      </c>
      <c r="AH12" s="625">
        <f>+[39]A06!$C$12</f>
        <v>25</v>
      </c>
      <c r="AI12" s="625">
        <f>+[40]A06!$C$12</f>
        <v>39</v>
      </c>
      <c r="AJ12" s="625">
        <f>+[41]A06!$C$12</f>
        <v>78</v>
      </c>
      <c r="AK12" s="625">
        <f>+[42]A06!$C$12</f>
        <v>60</v>
      </c>
      <c r="AL12" s="625"/>
      <c r="AM12" s="625"/>
      <c r="AN12" s="625"/>
      <c r="AO12" s="625"/>
      <c r="AP12" s="625"/>
      <c r="AQ12" s="625"/>
      <c r="AR12" s="625"/>
      <c r="AS12" s="276">
        <f t="shared" si="3"/>
        <v>260</v>
      </c>
      <c r="AT12" s="258"/>
      <c r="AU12" s="276">
        <v>0</v>
      </c>
      <c r="AV12" s="276">
        <v>0</v>
      </c>
      <c r="AW12" s="276">
        <v>0</v>
      </c>
      <c r="AX12" s="276">
        <v>0</v>
      </c>
      <c r="AY12" s="276">
        <v>0</v>
      </c>
      <c r="AZ12" s="276">
        <v>0</v>
      </c>
      <c r="BA12" s="276">
        <v>0</v>
      </c>
      <c r="BB12" s="276">
        <v>0</v>
      </c>
      <c r="BC12" s="276">
        <v>0</v>
      </c>
      <c r="BD12" s="276">
        <v>0</v>
      </c>
      <c r="BE12" s="276">
        <v>0</v>
      </c>
      <c r="BF12" s="276">
        <v>0</v>
      </c>
      <c r="BG12" s="276">
        <v>0</v>
      </c>
      <c r="BH12" s="258"/>
      <c r="BI12" s="276">
        <v>0</v>
      </c>
      <c r="BJ12" s="276">
        <v>0</v>
      </c>
      <c r="BK12" s="276">
        <v>0</v>
      </c>
      <c r="BL12" s="276">
        <v>0</v>
      </c>
      <c r="BM12" s="276">
        <v>0</v>
      </c>
      <c r="BN12" s="276">
        <v>0</v>
      </c>
      <c r="BO12" s="276">
        <v>0</v>
      </c>
      <c r="BP12" s="276">
        <v>0</v>
      </c>
      <c r="BQ12" s="276">
        <v>0</v>
      </c>
      <c r="BR12" s="276">
        <v>0</v>
      </c>
      <c r="BS12" s="276">
        <v>0</v>
      </c>
      <c r="BT12" s="276">
        <v>0</v>
      </c>
      <c r="BU12" s="276">
        <v>0</v>
      </c>
      <c r="BV12" s="258"/>
      <c r="BW12" s="625">
        <f>+[38]A23!$B$58+[38]A23!$B$63</f>
        <v>3</v>
      </c>
      <c r="BX12" s="625">
        <f>+[39]A23!$B$58+[39]A23!$B$63</f>
        <v>13</v>
      </c>
      <c r="BY12" s="625">
        <f>+[40]A23!$B$58+[40]A23!$B$63</f>
        <v>12</v>
      </c>
      <c r="BZ12" s="625">
        <f>+[41]A23!$B$58+[41]A23!$B$63</f>
        <v>11</v>
      </c>
      <c r="CA12" s="625">
        <f>+[42]A23!$B$58+[42]A23!$B$63</f>
        <v>5</v>
      </c>
      <c r="CB12" s="625"/>
      <c r="CC12" s="625"/>
      <c r="CD12" s="625"/>
      <c r="CE12" s="625"/>
      <c r="CF12" s="625"/>
      <c r="CG12" s="625"/>
      <c r="CH12" s="625"/>
      <c r="CI12" s="276">
        <f t="shared" si="4"/>
        <v>44</v>
      </c>
      <c r="CJ12" s="258"/>
      <c r="CK12" s="615">
        <f>+[38]A32!$B$28+[38]A32!$C$134+[38]A32!$C$145</f>
        <v>0</v>
      </c>
      <c r="CL12" s="615">
        <f>+[39]A32!$B$28+[39]A32!$C$134+[39]A32!$C$145</f>
        <v>0</v>
      </c>
      <c r="CM12" s="615">
        <f>+[40]A32!$B$28+[40]A32!$C$134+[40]A32!$C$145</f>
        <v>0</v>
      </c>
      <c r="CN12" s="615">
        <f>+[41]A32!$B$28+[41]A32!$C$134+[41]A32!$C$145</f>
        <v>0</v>
      </c>
      <c r="CO12" s="615">
        <f>+[42]A32!$B$28+[42]A32!$C$134+[42]A32!$C$145</f>
        <v>0</v>
      </c>
      <c r="CP12" s="258">
        <v>0</v>
      </c>
      <c r="CQ12" s="258">
        <v>0</v>
      </c>
      <c r="CR12" s="258">
        <v>0</v>
      </c>
      <c r="CS12" s="258">
        <v>0</v>
      </c>
      <c r="CT12" s="258">
        <v>0</v>
      </c>
      <c r="CU12" s="258">
        <v>0</v>
      </c>
      <c r="CV12" s="258">
        <v>0</v>
      </c>
      <c r="CW12" s="264">
        <v>0</v>
      </c>
      <c r="CX12" s="258"/>
      <c r="CY12" s="263">
        <f t="shared" si="5"/>
        <v>597</v>
      </c>
      <c r="CZ12" s="263">
        <f t="shared" si="0"/>
        <v>449</v>
      </c>
      <c r="DA12" s="263">
        <f t="shared" si="0"/>
        <v>550</v>
      </c>
      <c r="DB12" s="263">
        <f t="shared" si="0"/>
        <v>661</v>
      </c>
      <c r="DC12" s="263">
        <f t="shared" si="0"/>
        <v>745</v>
      </c>
      <c r="DD12" s="263">
        <f t="shared" si="0"/>
        <v>0</v>
      </c>
      <c r="DE12" s="263">
        <f t="shared" si="0"/>
        <v>0</v>
      </c>
      <c r="DF12" s="263">
        <f t="shared" si="0"/>
        <v>0</v>
      </c>
      <c r="DG12" s="263">
        <f t="shared" si="0"/>
        <v>0</v>
      </c>
      <c r="DH12" s="263">
        <f t="shared" si="0"/>
        <v>0</v>
      </c>
      <c r="DI12" s="263">
        <f t="shared" si="0"/>
        <v>0</v>
      </c>
      <c r="DJ12" s="263">
        <f t="shared" si="0"/>
        <v>0</v>
      </c>
      <c r="DK12" s="471">
        <f t="shared" si="6"/>
        <v>3002</v>
      </c>
      <c r="DL12" s="258"/>
      <c r="DM12" s="436">
        <f>SUM(([38]A07!$AE$136:$AF$136))-SUM(([38]A07!$AE$120:$AE$124), ([38]A07!$AE$129:$AE$131))+SUM(([38]A07!$AF$106), ([38]A07!$AF$120:$AF$124), ([38]A07!$AF$129:$AF$131))</f>
        <v>176</v>
      </c>
      <c r="DN12" s="436">
        <f>SUM(([39]A07!$AE$136:$AF$136))-SUM(([39]A07!$AE$120:$AE$124), ([39]A07!$AE$129:$AE$131))+SUM(([39]A07!$AF$106), ([39]A07!$AF$120:$AF$124), ([39]A07!$AF$129:$AF$131))</f>
        <v>77</v>
      </c>
      <c r="DO12" s="436">
        <f>SUM(([40]A07!$AE$136:$AF$136))-SUM(([40]A07!$AE$120:$AE$124), ([40]A07!$AE$129:$AE$131))+SUM(([40]A07!$AF$106), ([40]A07!$AF$120:$AF$124), ([40]A07!$AF$129:$AF$131))</f>
        <v>110</v>
      </c>
      <c r="DP12" s="436">
        <f>SUM(([41]A07!$AE$136:$AF$136))-SUM(([41]A07!$AE$120:$AE$124), ([41]A07!$AE$129:$AE$131))+SUM(([41]A07!$AF$106), ([41]A07!$AF$120:$AF$124), ([41]A07!$AF$129:$AF$131))</f>
        <v>82</v>
      </c>
      <c r="DQ12" s="436">
        <f>SUM(([42]A07!$AE$136:$AF$136))-SUM(([42]A07!$AE$120:$AE$124), ([42]A07!$AE$129:$AE$131))+SUM(([42]A07!$AF$106), ([42]A07!$AF$120:$AF$124), ([42]A07!$AF$129:$AF$131))</f>
        <v>116</v>
      </c>
      <c r="DR12" s="436"/>
      <c r="DS12" s="436"/>
      <c r="DT12" s="436"/>
      <c r="DU12" s="436"/>
      <c r="DV12" s="436"/>
      <c r="DW12" s="436"/>
      <c r="DX12" s="436"/>
      <c r="DY12" s="471">
        <f t="shared" si="7"/>
        <v>561</v>
      </c>
      <c r="DZ12" s="258"/>
      <c r="EA12" s="281"/>
      <c r="EB12" s="258"/>
      <c r="EC12" s="258"/>
    </row>
    <row r="13" spans="2:215" s="260" customFormat="1" thickBot="1" x14ac:dyDescent="0.25">
      <c r="B13" s="268"/>
      <c r="C13" s="269" t="s">
        <v>202</v>
      </c>
      <c r="D13" s="270"/>
      <c r="E13" s="271">
        <v>18452</v>
      </c>
      <c r="F13" s="271">
        <f>SUM(F6:F12)</f>
        <v>1419</v>
      </c>
      <c r="G13" s="271">
        <f t="shared" ref="G13:P13" si="9">SUM(G6:G12)</f>
        <v>1959</v>
      </c>
      <c r="H13" s="271">
        <f t="shared" si="9"/>
        <v>2203</v>
      </c>
      <c r="I13" s="271">
        <f t="shared" si="9"/>
        <v>2823</v>
      </c>
      <c r="J13" s="271">
        <f t="shared" si="9"/>
        <v>0</v>
      </c>
      <c r="K13" s="271">
        <f t="shared" si="9"/>
        <v>0</v>
      </c>
      <c r="L13" s="271">
        <f t="shared" si="9"/>
        <v>0</v>
      </c>
      <c r="M13" s="271">
        <f t="shared" si="9"/>
        <v>0</v>
      </c>
      <c r="N13" s="271">
        <f t="shared" si="9"/>
        <v>0</v>
      </c>
      <c r="O13" s="271">
        <f t="shared" si="9"/>
        <v>0</v>
      </c>
      <c r="P13" s="271">
        <f t="shared" si="9"/>
        <v>0</v>
      </c>
      <c r="Q13" s="282">
        <f>SUM(Q6:Q12)</f>
        <v>10566</v>
      </c>
      <c r="R13" s="258"/>
      <c r="S13" s="271">
        <f>SUM(S6:S12)</f>
        <v>6381</v>
      </c>
      <c r="T13" s="271">
        <f t="shared" ref="T13:AD13" si="10">SUM(T6:T12)</f>
        <v>8259</v>
      </c>
      <c r="U13" s="271">
        <f t="shared" si="10"/>
        <v>6226</v>
      </c>
      <c r="V13" s="271">
        <f t="shared" si="10"/>
        <v>7275</v>
      </c>
      <c r="W13" s="271">
        <f t="shared" si="10"/>
        <v>6531</v>
      </c>
      <c r="X13" s="271">
        <f t="shared" si="10"/>
        <v>0</v>
      </c>
      <c r="Y13" s="271">
        <f t="shared" si="10"/>
        <v>0</v>
      </c>
      <c r="Z13" s="271">
        <f t="shared" si="10"/>
        <v>0</v>
      </c>
      <c r="AA13" s="271">
        <f t="shared" si="10"/>
        <v>0</v>
      </c>
      <c r="AB13" s="271">
        <f t="shared" si="10"/>
        <v>0</v>
      </c>
      <c r="AC13" s="271">
        <f t="shared" si="10"/>
        <v>0</v>
      </c>
      <c r="AD13" s="271">
        <f t="shared" si="10"/>
        <v>0</v>
      </c>
      <c r="AE13" s="282">
        <f>SUM(AE6:AE12)</f>
        <v>34672</v>
      </c>
      <c r="AF13" s="258"/>
      <c r="AG13" s="271">
        <f>SUM(AG6:AG12)</f>
        <v>626</v>
      </c>
      <c r="AH13" s="271">
        <f t="shared" ref="AH13:AR13" si="11">SUM(AH6:AH12)</f>
        <v>465</v>
      </c>
      <c r="AI13" s="271">
        <f t="shared" si="11"/>
        <v>661</v>
      </c>
      <c r="AJ13" s="271">
        <f t="shared" si="11"/>
        <v>750</v>
      </c>
      <c r="AK13" s="271">
        <f t="shared" si="11"/>
        <v>751</v>
      </c>
      <c r="AL13" s="271">
        <f t="shared" si="11"/>
        <v>0</v>
      </c>
      <c r="AM13" s="271">
        <f t="shared" si="11"/>
        <v>0</v>
      </c>
      <c r="AN13" s="271">
        <f t="shared" si="11"/>
        <v>0</v>
      </c>
      <c r="AO13" s="271">
        <f t="shared" si="11"/>
        <v>0</v>
      </c>
      <c r="AP13" s="271">
        <f t="shared" si="11"/>
        <v>0</v>
      </c>
      <c r="AQ13" s="271">
        <f t="shared" si="11"/>
        <v>0</v>
      </c>
      <c r="AR13" s="271">
        <f t="shared" si="11"/>
        <v>0</v>
      </c>
      <c r="AS13" s="282">
        <f>SUM(AS6:AS12)</f>
        <v>3253</v>
      </c>
      <c r="AT13" s="258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82"/>
      <c r="BH13" s="258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82"/>
      <c r="BV13" s="258"/>
      <c r="BW13" s="271">
        <f>SUM(BW6:BW12)</f>
        <v>162</v>
      </c>
      <c r="BX13" s="271">
        <f t="shared" ref="BX13:CH13" si="12">SUM(BX6:BX12)</f>
        <v>188</v>
      </c>
      <c r="BY13" s="271">
        <f t="shared" si="12"/>
        <v>176</v>
      </c>
      <c r="BZ13" s="271">
        <f t="shared" si="12"/>
        <v>159</v>
      </c>
      <c r="CA13" s="271">
        <f t="shared" si="12"/>
        <v>218</v>
      </c>
      <c r="CB13" s="271">
        <f t="shared" si="12"/>
        <v>0</v>
      </c>
      <c r="CC13" s="271">
        <f t="shared" si="12"/>
        <v>0</v>
      </c>
      <c r="CD13" s="271">
        <f t="shared" si="12"/>
        <v>0</v>
      </c>
      <c r="CE13" s="271">
        <f t="shared" si="12"/>
        <v>0</v>
      </c>
      <c r="CF13" s="271">
        <f t="shared" si="12"/>
        <v>0</v>
      </c>
      <c r="CG13" s="271">
        <f t="shared" si="12"/>
        <v>0</v>
      </c>
      <c r="CH13" s="271">
        <f t="shared" si="12"/>
        <v>0</v>
      </c>
      <c r="CI13" s="282">
        <f>SUM(CI6:CI12)</f>
        <v>903</v>
      </c>
      <c r="CJ13" s="283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82"/>
      <c r="CX13" s="258"/>
      <c r="CY13" s="271">
        <f>SUM(CY6:CY12)</f>
        <v>9331</v>
      </c>
      <c r="CZ13" s="271">
        <f t="shared" ref="CZ13:DJ13" si="13">SUM(CZ6:CZ12)</f>
        <v>10331</v>
      </c>
      <c r="DA13" s="271">
        <f t="shared" si="13"/>
        <v>9022</v>
      </c>
      <c r="DB13" s="271">
        <f t="shared" si="13"/>
        <v>10387</v>
      </c>
      <c r="DC13" s="271">
        <f t="shared" si="13"/>
        <v>10323</v>
      </c>
      <c r="DD13" s="271">
        <f t="shared" si="13"/>
        <v>0</v>
      </c>
      <c r="DE13" s="271">
        <f t="shared" si="13"/>
        <v>0</v>
      </c>
      <c r="DF13" s="271">
        <f t="shared" si="13"/>
        <v>0</v>
      </c>
      <c r="DG13" s="271">
        <f t="shared" si="13"/>
        <v>0</v>
      </c>
      <c r="DH13" s="271">
        <f t="shared" si="13"/>
        <v>0</v>
      </c>
      <c r="DI13" s="271">
        <f t="shared" si="13"/>
        <v>0</v>
      </c>
      <c r="DJ13" s="271">
        <f t="shared" si="13"/>
        <v>0</v>
      </c>
      <c r="DK13" s="472">
        <f>SUM(DK6:DK12)</f>
        <v>49394</v>
      </c>
      <c r="DL13" s="258"/>
      <c r="DM13" s="271">
        <f>SUM(DM6:DM12)</f>
        <v>1446</v>
      </c>
      <c r="DN13" s="271">
        <f t="shared" ref="DN13:DX13" si="14">SUM(DN6:DN12)</f>
        <v>1328</v>
      </c>
      <c r="DO13" s="271">
        <f t="shared" si="14"/>
        <v>1536</v>
      </c>
      <c r="DP13" s="271">
        <f t="shared" si="14"/>
        <v>1374</v>
      </c>
      <c r="DQ13" s="271">
        <f t="shared" si="14"/>
        <v>1313</v>
      </c>
      <c r="DR13" s="271">
        <f t="shared" si="14"/>
        <v>0</v>
      </c>
      <c r="DS13" s="271">
        <f t="shared" si="14"/>
        <v>0</v>
      </c>
      <c r="DT13" s="271">
        <f t="shared" si="14"/>
        <v>0</v>
      </c>
      <c r="DU13" s="271">
        <f t="shared" si="14"/>
        <v>0</v>
      </c>
      <c r="DV13" s="271">
        <f t="shared" si="14"/>
        <v>0</v>
      </c>
      <c r="DW13" s="271">
        <f t="shared" si="14"/>
        <v>0</v>
      </c>
      <c r="DX13" s="271">
        <f t="shared" si="14"/>
        <v>0</v>
      </c>
      <c r="DY13" s="472">
        <f>SUM(DY6:DY12)</f>
        <v>6997</v>
      </c>
      <c r="DZ13" s="258"/>
      <c r="EA13" s="281"/>
      <c r="EB13" s="258"/>
      <c r="EC13" s="258"/>
    </row>
    <row r="14" spans="2:215" s="260" customFormat="1" ht="12" x14ac:dyDescent="0.2">
      <c r="C14" s="272"/>
      <c r="D14" s="272"/>
      <c r="E14" s="273"/>
      <c r="F14" s="273"/>
      <c r="G14" s="273"/>
      <c r="H14" s="273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73"/>
      <c r="T14" s="273"/>
      <c r="U14" s="273"/>
      <c r="V14" s="273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73"/>
      <c r="AH14" s="273"/>
      <c r="AI14" s="273"/>
      <c r="AJ14" s="273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73"/>
      <c r="AV14" s="273"/>
      <c r="AW14" s="273"/>
      <c r="AX14" s="273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73"/>
      <c r="BJ14" s="273"/>
      <c r="BK14" s="273"/>
      <c r="BL14" s="273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73"/>
      <c r="BX14" s="273"/>
      <c r="BY14" s="273"/>
      <c r="BZ14" s="273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73"/>
      <c r="CL14" s="273"/>
      <c r="CM14" s="273"/>
      <c r="CN14" s="273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73"/>
      <c r="CZ14" s="273"/>
      <c r="DA14" s="273"/>
      <c r="DB14" s="273"/>
      <c r="DC14" s="258"/>
      <c r="DD14" s="258"/>
      <c r="DE14" s="258"/>
      <c r="DG14" s="258"/>
      <c r="DH14" s="258"/>
      <c r="DI14" s="258"/>
      <c r="DJ14" s="258"/>
      <c r="DK14" s="473"/>
      <c r="DL14" s="258"/>
      <c r="DM14" s="273"/>
      <c r="DN14" s="273"/>
      <c r="DO14" s="273"/>
      <c r="DP14" s="273"/>
      <c r="DQ14" s="258"/>
      <c r="DR14" s="258"/>
      <c r="DS14" s="258"/>
      <c r="DT14" s="258"/>
      <c r="DU14" s="258"/>
      <c r="DV14" s="258"/>
      <c r="DW14" s="258"/>
      <c r="DX14" s="258"/>
      <c r="DY14" s="473"/>
      <c r="DZ14" s="258"/>
      <c r="EA14" s="258"/>
      <c r="EB14" s="258"/>
      <c r="EC14" s="258"/>
    </row>
    <row r="15" spans="2:215" s="257" customFormat="1" ht="12" x14ac:dyDescent="0.2"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473"/>
      <c r="DL15" s="258"/>
      <c r="DM15" s="258"/>
      <c r="DN15" s="258"/>
      <c r="DO15" s="258"/>
      <c r="DP15" s="258"/>
      <c r="DQ15" s="258"/>
      <c r="DR15" s="258"/>
      <c r="DS15" s="258"/>
      <c r="DT15" s="258"/>
      <c r="DU15" s="258"/>
      <c r="DV15" s="258"/>
      <c r="DW15" s="258"/>
      <c r="DX15" s="258"/>
      <c r="DY15" s="473"/>
      <c r="DZ15" s="258"/>
      <c r="EA15" s="258"/>
      <c r="EB15" s="258"/>
      <c r="EC15" s="258"/>
    </row>
    <row r="16" spans="2:215" s="257" customFormat="1" ht="12" x14ac:dyDescent="0.2"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473"/>
      <c r="DL16" s="258"/>
      <c r="DM16" s="258"/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473"/>
      <c r="DZ16" s="258"/>
      <c r="EA16" s="258"/>
      <c r="EB16" s="258"/>
      <c r="EC16" s="258"/>
    </row>
    <row r="17" spans="5:133" s="257" customFormat="1" ht="12" x14ac:dyDescent="0.2"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473"/>
      <c r="DL17" s="258"/>
      <c r="DM17" s="258"/>
      <c r="DN17" s="258"/>
      <c r="DO17" s="258"/>
      <c r="DP17" s="258"/>
      <c r="DQ17" s="258"/>
      <c r="DR17" s="258"/>
      <c r="DS17" s="258"/>
      <c r="DT17" s="258"/>
      <c r="DU17" s="258"/>
      <c r="DV17" s="258"/>
      <c r="DW17" s="258"/>
      <c r="DX17" s="258"/>
      <c r="DY17" s="473"/>
      <c r="DZ17" s="258"/>
      <c r="EA17" s="258"/>
      <c r="EB17" s="258"/>
      <c r="EC17" s="258"/>
    </row>
    <row r="18" spans="5:133" s="257" customFormat="1" ht="12" x14ac:dyDescent="0.2"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473"/>
      <c r="DL18" s="258"/>
      <c r="DM18" s="258"/>
      <c r="DN18" s="258"/>
      <c r="DO18" s="258"/>
      <c r="DP18" s="258"/>
      <c r="DQ18" s="258"/>
      <c r="DR18" s="258"/>
      <c r="DS18" s="258"/>
      <c r="DT18" s="258"/>
      <c r="DU18" s="258"/>
      <c r="DV18" s="258"/>
      <c r="DW18" s="258"/>
      <c r="DX18" s="258"/>
      <c r="DY18" s="473"/>
      <c r="DZ18" s="258"/>
      <c r="EA18" s="258"/>
      <c r="EB18" s="258"/>
      <c r="EC18" s="258"/>
    </row>
    <row r="19" spans="5:133" s="257" customFormat="1" ht="12" x14ac:dyDescent="0.2"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473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258"/>
      <c r="DW19" s="258"/>
      <c r="DX19" s="258"/>
      <c r="DY19" s="473"/>
      <c r="DZ19" s="258"/>
      <c r="EA19" s="258"/>
      <c r="EB19" s="258"/>
      <c r="EC19" s="258"/>
    </row>
    <row r="20" spans="5:133" s="257" customFormat="1" ht="12" x14ac:dyDescent="0.2"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473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258"/>
      <c r="DW20" s="258"/>
      <c r="DX20" s="258"/>
      <c r="DY20" s="473"/>
      <c r="DZ20" s="258"/>
      <c r="EA20" s="258"/>
      <c r="EB20" s="258"/>
      <c r="EC20" s="258"/>
    </row>
    <row r="21" spans="5:133" s="257" customFormat="1" ht="12" x14ac:dyDescent="0.2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473"/>
      <c r="DL21" s="258"/>
      <c r="DM21" s="258"/>
      <c r="DN21" s="258"/>
      <c r="DO21" s="258"/>
      <c r="DP21" s="258"/>
      <c r="DQ21" s="258"/>
      <c r="DR21" s="258"/>
      <c r="DS21" s="258"/>
      <c r="DT21" s="258"/>
      <c r="DU21" s="258"/>
      <c r="DV21" s="258"/>
      <c r="DW21" s="258"/>
      <c r="DX21" s="258"/>
      <c r="DY21" s="473"/>
      <c r="DZ21" s="258"/>
      <c r="EA21" s="258"/>
      <c r="EB21" s="258"/>
      <c r="EC21" s="258"/>
    </row>
    <row r="22" spans="5:133" s="257" customFormat="1" ht="12" x14ac:dyDescent="0.2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473"/>
      <c r="DL22" s="258"/>
      <c r="DM22" s="258"/>
      <c r="DN22" s="258"/>
      <c r="DO22" s="258"/>
      <c r="DP22" s="258"/>
      <c r="DQ22" s="258"/>
      <c r="DR22" s="258"/>
      <c r="DS22" s="258"/>
      <c r="DT22" s="258"/>
      <c r="DU22" s="258"/>
      <c r="DV22" s="258"/>
      <c r="DW22" s="258"/>
      <c r="DX22" s="258"/>
      <c r="DY22" s="473"/>
      <c r="DZ22" s="258"/>
      <c r="EA22" s="258"/>
      <c r="EB22" s="258"/>
      <c r="EC22" s="258"/>
    </row>
    <row r="23" spans="5:133" s="257" customFormat="1" ht="12" x14ac:dyDescent="0.2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473"/>
      <c r="DL23" s="258"/>
      <c r="DM23" s="258"/>
      <c r="DN23" s="258"/>
      <c r="DO23" s="258"/>
      <c r="DP23" s="258"/>
      <c r="DQ23" s="258"/>
      <c r="DR23" s="258"/>
      <c r="DS23" s="258"/>
      <c r="DT23" s="258"/>
      <c r="DU23" s="258"/>
      <c r="DV23" s="258"/>
      <c r="DW23" s="258"/>
      <c r="DX23" s="258"/>
      <c r="DY23" s="473"/>
      <c r="DZ23" s="258"/>
      <c r="EA23" s="258"/>
      <c r="EB23" s="258"/>
      <c r="EC23" s="258"/>
    </row>
    <row r="24" spans="5:133" s="257" customFormat="1" ht="12" x14ac:dyDescent="0.2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473"/>
      <c r="DL24" s="258"/>
      <c r="DM24" s="258"/>
      <c r="DN24" s="258"/>
      <c r="DO24" s="258"/>
      <c r="DP24" s="258"/>
      <c r="DQ24" s="258"/>
      <c r="DR24" s="258"/>
      <c r="DS24" s="258"/>
      <c r="DT24" s="258"/>
      <c r="DU24" s="258"/>
      <c r="DV24" s="258"/>
      <c r="DW24" s="258"/>
      <c r="DX24" s="258"/>
      <c r="DY24" s="473"/>
      <c r="DZ24" s="258"/>
      <c r="EA24" s="258"/>
      <c r="EB24" s="258"/>
      <c r="EC24" s="258"/>
    </row>
    <row r="25" spans="5:133" s="257" customFormat="1" ht="12" x14ac:dyDescent="0.2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473"/>
      <c r="DL25" s="258"/>
      <c r="DM25" s="258"/>
      <c r="DN25" s="258"/>
      <c r="DO25" s="258"/>
      <c r="DP25" s="258"/>
      <c r="DQ25" s="258"/>
      <c r="DR25" s="258"/>
      <c r="DS25" s="258"/>
      <c r="DT25" s="258"/>
      <c r="DU25" s="258"/>
      <c r="DV25" s="258"/>
      <c r="DW25" s="258"/>
      <c r="DX25" s="258"/>
      <c r="DY25" s="473"/>
      <c r="DZ25" s="258"/>
      <c r="EA25" s="258"/>
      <c r="EB25" s="258"/>
      <c r="EC25" s="258"/>
    </row>
    <row r="26" spans="5:133" s="257" customFormat="1" ht="12" x14ac:dyDescent="0.2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473"/>
      <c r="DL26" s="258"/>
      <c r="DM26" s="258"/>
      <c r="DN26" s="258"/>
      <c r="DO26" s="258"/>
      <c r="DP26" s="258"/>
      <c r="DQ26" s="258"/>
      <c r="DR26" s="258"/>
      <c r="DS26" s="258"/>
      <c r="DT26" s="258"/>
      <c r="DU26" s="258"/>
      <c r="DV26" s="258"/>
      <c r="DW26" s="258"/>
      <c r="DX26" s="258"/>
      <c r="DY26" s="473"/>
      <c r="DZ26" s="258"/>
      <c r="EA26" s="258"/>
      <c r="EB26" s="258"/>
      <c r="EC26" s="258"/>
    </row>
    <row r="27" spans="5:133" s="257" customFormat="1" ht="12" x14ac:dyDescent="0.2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473"/>
      <c r="DL27" s="258"/>
      <c r="DM27" s="258"/>
      <c r="DN27" s="258"/>
      <c r="DO27" s="258"/>
      <c r="DP27" s="258"/>
      <c r="DQ27" s="258"/>
      <c r="DR27" s="258"/>
      <c r="DS27" s="258"/>
      <c r="DT27" s="258"/>
      <c r="DU27" s="258"/>
      <c r="DV27" s="258"/>
      <c r="DW27" s="258"/>
      <c r="DX27" s="258"/>
      <c r="DY27" s="473"/>
      <c r="DZ27" s="258"/>
      <c r="EA27" s="258"/>
      <c r="EB27" s="258"/>
      <c r="EC27" s="258"/>
    </row>
    <row r="28" spans="5:133" s="257" customFormat="1" ht="12" x14ac:dyDescent="0.2"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473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473"/>
      <c r="DZ28" s="258"/>
      <c r="EA28" s="258"/>
      <c r="EB28" s="258"/>
      <c r="EC28" s="258"/>
    </row>
    <row r="29" spans="5:133" s="257" customFormat="1" ht="12" x14ac:dyDescent="0.2"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473"/>
      <c r="DL29" s="258"/>
      <c r="DM29" s="258"/>
      <c r="DN29" s="258"/>
      <c r="DO29" s="258"/>
      <c r="DP29" s="258"/>
      <c r="DQ29" s="258"/>
      <c r="DR29" s="258"/>
      <c r="DS29" s="258"/>
      <c r="DT29" s="258"/>
      <c r="DU29" s="258"/>
      <c r="DV29" s="258"/>
      <c r="DW29" s="258"/>
      <c r="DX29" s="258"/>
      <c r="DY29" s="473"/>
      <c r="DZ29" s="258"/>
      <c r="EA29" s="258"/>
      <c r="EB29" s="258"/>
      <c r="EC29" s="258"/>
    </row>
    <row r="30" spans="5:133" s="257" customFormat="1" ht="12" x14ac:dyDescent="0.2"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473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258"/>
      <c r="DW30" s="258"/>
      <c r="DX30" s="258"/>
      <c r="DY30" s="473"/>
      <c r="DZ30" s="258"/>
      <c r="EA30" s="258"/>
      <c r="EB30" s="258"/>
      <c r="EC30" s="258"/>
    </row>
    <row r="31" spans="5:133" s="257" customFormat="1" ht="12" x14ac:dyDescent="0.2"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473"/>
      <c r="DL31" s="258"/>
      <c r="DM31" s="258"/>
      <c r="DN31" s="258"/>
      <c r="DO31" s="258"/>
      <c r="DP31" s="258"/>
      <c r="DQ31" s="258"/>
      <c r="DR31" s="258"/>
      <c r="DS31" s="258"/>
      <c r="DT31" s="258"/>
      <c r="DU31" s="258"/>
      <c r="DV31" s="258"/>
      <c r="DW31" s="258"/>
      <c r="DX31" s="258"/>
      <c r="DY31" s="473"/>
      <c r="DZ31" s="258"/>
      <c r="EA31" s="258"/>
      <c r="EB31" s="258"/>
      <c r="EC31" s="258"/>
    </row>
    <row r="32" spans="5:133" s="257" customFormat="1" ht="12" x14ac:dyDescent="0.2"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473"/>
      <c r="DL32" s="258"/>
      <c r="DM32" s="258"/>
      <c r="DN32" s="258"/>
      <c r="DO32" s="258"/>
      <c r="DP32" s="258"/>
      <c r="DQ32" s="258"/>
      <c r="DR32" s="258"/>
      <c r="DS32" s="258"/>
      <c r="DT32" s="258"/>
      <c r="DU32" s="258"/>
      <c r="DV32" s="258"/>
      <c r="DW32" s="258"/>
      <c r="DX32" s="258"/>
      <c r="DY32" s="473"/>
      <c r="DZ32" s="258"/>
      <c r="EA32" s="258"/>
      <c r="EB32" s="258"/>
      <c r="EC32" s="258"/>
    </row>
    <row r="33" spans="5:133" s="257" customFormat="1" ht="12" x14ac:dyDescent="0.2"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473"/>
      <c r="DL33" s="258"/>
      <c r="DM33" s="258"/>
      <c r="DN33" s="258"/>
      <c r="DO33" s="258"/>
      <c r="DP33" s="258"/>
      <c r="DQ33" s="258"/>
      <c r="DR33" s="258"/>
      <c r="DS33" s="258"/>
      <c r="DT33" s="258"/>
      <c r="DU33" s="258"/>
      <c r="DV33" s="258"/>
      <c r="DW33" s="258"/>
      <c r="DX33" s="258"/>
      <c r="DY33" s="473"/>
      <c r="DZ33" s="258"/>
      <c r="EA33" s="258"/>
      <c r="EB33" s="258"/>
      <c r="EC33" s="258"/>
    </row>
    <row r="34" spans="5:133" s="257" customFormat="1" ht="12" x14ac:dyDescent="0.2"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473"/>
      <c r="DL34" s="258"/>
      <c r="DM34" s="258"/>
      <c r="DN34" s="258"/>
      <c r="DO34" s="258"/>
      <c r="DP34" s="258"/>
      <c r="DQ34" s="258"/>
      <c r="DR34" s="258"/>
      <c r="DS34" s="258"/>
      <c r="DT34" s="258"/>
      <c r="DU34" s="258"/>
      <c r="DV34" s="258"/>
      <c r="DW34" s="258"/>
      <c r="DX34" s="258"/>
      <c r="DY34" s="473"/>
      <c r="DZ34" s="258"/>
      <c r="EA34" s="258"/>
      <c r="EB34" s="258"/>
      <c r="EC34" s="258"/>
    </row>
    <row r="35" spans="5:133" s="257" customFormat="1" ht="12" x14ac:dyDescent="0.2"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473"/>
      <c r="DL35" s="258"/>
      <c r="DM35" s="258"/>
      <c r="DN35" s="258"/>
      <c r="DO35" s="258"/>
      <c r="DP35" s="258"/>
      <c r="DQ35" s="258"/>
      <c r="DR35" s="258"/>
      <c r="DS35" s="258"/>
      <c r="DT35" s="258"/>
      <c r="DU35" s="258"/>
      <c r="DV35" s="258"/>
      <c r="DW35" s="258"/>
      <c r="DX35" s="258"/>
      <c r="DY35" s="473"/>
      <c r="DZ35" s="258"/>
      <c r="EA35" s="258"/>
      <c r="EB35" s="258"/>
      <c r="EC35" s="258"/>
    </row>
    <row r="36" spans="5:133" s="257" customFormat="1" ht="12" x14ac:dyDescent="0.2"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473"/>
      <c r="DL36" s="258"/>
      <c r="DM36" s="258"/>
      <c r="DN36" s="258"/>
      <c r="DO36" s="258"/>
      <c r="DP36" s="258"/>
      <c r="DQ36" s="258"/>
      <c r="DR36" s="258"/>
      <c r="DS36" s="258"/>
      <c r="DT36" s="258"/>
      <c r="DU36" s="258"/>
      <c r="DV36" s="258"/>
      <c r="DW36" s="258"/>
      <c r="DX36" s="258"/>
      <c r="DY36" s="473"/>
      <c r="DZ36" s="258"/>
      <c r="EA36" s="258"/>
      <c r="EB36" s="258"/>
      <c r="EC36" s="258"/>
    </row>
    <row r="37" spans="5:133" s="257" customFormat="1" ht="12" x14ac:dyDescent="0.2"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473"/>
      <c r="DL37" s="258"/>
      <c r="DM37" s="258"/>
      <c r="DN37" s="258"/>
      <c r="DO37" s="258"/>
      <c r="DP37" s="258"/>
      <c r="DQ37" s="258"/>
      <c r="DR37" s="258"/>
      <c r="DS37" s="258"/>
      <c r="DT37" s="258"/>
      <c r="DU37" s="258"/>
      <c r="DV37" s="258"/>
      <c r="DW37" s="258"/>
      <c r="DX37" s="258"/>
      <c r="DY37" s="473"/>
      <c r="DZ37" s="258"/>
      <c r="EA37" s="258"/>
      <c r="EB37" s="258"/>
      <c r="EC37" s="258"/>
    </row>
    <row r="38" spans="5:133" s="257" customFormat="1" ht="12" x14ac:dyDescent="0.2"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473"/>
      <c r="DL38" s="258"/>
      <c r="DM38" s="258"/>
      <c r="DN38" s="258"/>
      <c r="DO38" s="258"/>
      <c r="DP38" s="258"/>
      <c r="DQ38" s="258"/>
      <c r="DR38" s="258"/>
      <c r="DS38" s="258"/>
      <c r="DT38" s="258"/>
      <c r="DU38" s="258"/>
      <c r="DV38" s="258"/>
      <c r="DW38" s="258"/>
      <c r="DX38" s="258"/>
      <c r="DY38" s="473"/>
      <c r="DZ38" s="258"/>
      <c r="EA38" s="258"/>
      <c r="EB38" s="258"/>
      <c r="EC38" s="258"/>
    </row>
    <row r="39" spans="5:133" s="257" customFormat="1" ht="12" x14ac:dyDescent="0.2"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473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473"/>
      <c r="DZ39" s="258"/>
      <c r="EA39" s="258"/>
      <c r="EB39" s="258"/>
      <c r="EC39" s="258"/>
    </row>
    <row r="40" spans="5:133" s="257" customFormat="1" ht="12" x14ac:dyDescent="0.2"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473"/>
      <c r="DL40" s="258"/>
      <c r="DM40" s="258"/>
      <c r="DN40" s="258"/>
      <c r="DO40" s="258"/>
      <c r="DP40" s="258"/>
      <c r="DQ40" s="258"/>
      <c r="DR40" s="258"/>
      <c r="DS40" s="258"/>
      <c r="DT40" s="258"/>
      <c r="DU40" s="258"/>
      <c r="DV40" s="258"/>
      <c r="DW40" s="258"/>
      <c r="DX40" s="258"/>
      <c r="DY40" s="473"/>
      <c r="DZ40" s="258"/>
      <c r="EA40" s="258"/>
      <c r="EB40" s="258"/>
      <c r="EC40" s="258"/>
    </row>
    <row r="41" spans="5:133" s="257" customFormat="1" ht="12" x14ac:dyDescent="0.2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473"/>
      <c r="DL41" s="258"/>
      <c r="DM41" s="258"/>
      <c r="DN41" s="258"/>
      <c r="DO41" s="258"/>
      <c r="DP41" s="258"/>
      <c r="DQ41" s="258"/>
      <c r="DR41" s="258"/>
      <c r="DS41" s="258"/>
      <c r="DT41" s="258"/>
      <c r="DU41" s="258"/>
      <c r="DV41" s="258"/>
      <c r="DW41" s="258"/>
      <c r="DX41" s="258"/>
      <c r="DY41" s="473"/>
      <c r="DZ41" s="258"/>
      <c r="EA41" s="258"/>
      <c r="EB41" s="258"/>
      <c r="EC41" s="258"/>
    </row>
    <row r="42" spans="5:133" s="257" customFormat="1" ht="12" x14ac:dyDescent="0.2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473"/>
      <c r="DL42" s="258"/>
      <c r="DM42" s="258"/>
      <c r="DN42" s="258"/>
      <c r="DO42" s="258"/>
      <c r="DP42" s="258"/>
      <c r="DQ42" s="258"/>
      <c r="DR42" s="258"/>
      <c r="DS42" s="258"/>
      <c r="DT42" s="258"/>
      <c r="DU42" s="258"/>
      <c r="DV42" s="258"/>
      <c r="DW42" s="258"/>
      <c r="DX42" s="258"/>
      <c r="DY42" s="473"/>
      <c r="DZ42" s="258"/>
      <c r="EA42" s="258"/>
      <c r="EB42" s="258"/>
      <c r="EC42" s="258"/>
    </row>
    <row r="43" spans="5:133" s="257" customFormat="1" ht="12" x14ac:dyDescent="0.2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473"/>
      <c r="DL43" s="258"/>
      <c r="DM43" s="258"/>
      <c r="DN43" s="258"/>
      <c r="DO43" s="258"/>
      <c r="DP43" s="258"/>
      <c r="DQ43" s="258"/>
      <c r="DR43" s="258"/>
      <c r="DS43" s="258"/>
      <c r="DT43" s="258"/>
      <c r="DU43" s="258"/>
      <c r="DV43" s="258"/>
      <c r="DW43" s="258"/>
      <c r="DX43" s="258"/>
      <c r="DY43" s="473"/>
      <c r="DZ43" s="258"/>
      <c r="EA43" s="258"/>
      <c r="EB43" s="258"/>
      <c r="EC43" s="258"/>
    </row>
    <row r="44" spans="5:133" s="257" customFormat="1" ht="12" x14ac:dyDescent="0.2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473"/>
      <c r="DL44" s="258"/>
      <c r="DM44" s="258"/>
      <c r="DN44" s="258"/>
      <c r="DO44" s="258"/>
      <c r="DP44" s="258"/>
      <c r="DQ44" s="258"/>
      <c r="DR44" s="258"/>
      <c r="DS44" s="258"/>
      <c r="DT44" s="258"/>
      <c r="DU44" s="258"/>
      <c r="DV44" s="258"/>
      <c r="DW44" s="258"/>
      <c r="DX44" s="258"/>
      <c r="DY44" s="473"/>
      <c r="DZ44" s="258"/>
      <c r="EA44" s="258"/>
      <c r="EB44" s="258"/>
      <c r="EC44" s="258"/>
    </row>
    <row r="45" spans="5:133" s="257" customFormat="1" ht="12" x14ac:dyDescent="0.2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473"/>
      <c r="DL45" s="258"/>
      <c r="DM45" s="258"/>
      <c r="DN45" s="258"/>
      <c r="DO45" s="258"/>
      <c r="DP45" s="258"/>
      <c r="DQ45" s="258"/>
      <c r="DR45" s="258"/>
      <c r="DS45" s="258"/>
      <c r="DT45" s="258"/>
      <c r="DU45" s="258"/>
      <c r="DV45" s="258"/>
      <c r="DW45" s="258"/>
      <c r="DX45" s="258"/>
      <c r="DY45" s="473"/>
      <c r="DZ45" s="258"/>
      <c r="EA45" s="258"/>
      <c r="EB45" s="258"/>
      <c r="EC45" s="258"/>
    </row>
    <row r="46" spans="5:133" s="257" customFormat="1" ht="12" x14ac:dyDescent="0.2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473"/>
      <c r="DL46" s="258"/>
      <c r="DM46" s="258"/>
      <c r="DN46" s="258"/>
      <c r="DO46" s="258"/>
      <c r="DP46" s="258"/>
      <c r="DQ46" s="258"/>
      <c r="DR46" s="258"/>
      <c r="DS46" s="258"/>
      <c r="DT46" s="258"/>
      <c r="DU46" s="258"/>
      <c r="DV46" s="258"/>
      <c r="DW46" s="258"/>
      <c r="DX46" s="258"/>
      <c r="DY46" s="473"/>
      <c r="DZ46" s="258"/>
      <c r="EA46" s="258"/>
      <c r="EB46" s="258"/>
      <c r="EC46" s="258"/>
    </row>
    <row r="47" spans="5:133" s="257" customFormat="1" ht="12" x14ac:dyDescent="0.2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473"/>
      <c r="DL47" s="258"/>
      <c r="DM47" s="258"/>
      <c r="DN47" s="258"/>
      <c r="DO47" s="258"/>
      <c r="DP47" s="258"/>
      <c r="DQ47" s="258"/>
      <c r="DR47" s="258"/>
      <c r="DS47" s="258"/>
      <c r="DT47" s="258"/>
      <c r="DU47" s="258"/>
      <c r="DV47" s="258"/>
      <c r="DW47" s="258"/>
      <c r="DX47" s="258"/>
      <c r="DY47" s="473"/>
      <c r="DZ47" s="258"/>
      <c r="EA47" s="258"/>
      <c r="EB47" s="258"/>
      <c r="EC47" s="258"/>
    </row>
    <row r="48" spans="5:133" s="257" customFormat="1" ht="12" x14ac:dyDescent="0.2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473"/>
      <c r="DL48" s="258"/>
      <c r="DM48" s="258"/>
      <c r="DN48" s="258"/>
      <c r="DO48" s="258"/>
      <c r="DP48" s="258"/>
      <c r="DQ48" s="258"/>
      <c r="DR48" s="258"/>
      <c r="DS48" s="258"/>
      <c r="DT48" s="258"/>
      <c r="DU48" s="258"/>
      <c r="DV48" s="258"/>
      <c r="DW48" s="258"/>
      <c r="DX48" s="258"/>
      <c r="DY48" s="473"/>
      <c r="DZ48" s="258"/>
      <c r="EA48" s="258"/>
      <c r="EB48" s="258"/>
      <c r="EC48" s="258"/>
    </row>
    <row r="49" spans="5:133" s="257" customFormat="1" ht="12" x14ac:dyDescent="0.2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473"/>
      <c r="DL49" s="258"/>
      <c r="DM49" s="258"/>
      <c r="DN49" s="258"/>
      <c r="DO49" s="258"/>
      <c r="DP49" s="258"/>
      <c r="DQ49" s="258"/>
      <c r="DR49" s="258"/>
      <c r="DS49" s="258"/>
      <c r="DT49" s="258"/>
      <c r="DU49" s="258"/>
      <c r="DV49" s="258"/>
      <c r="DW49" s="258"/>
      <c r="DX49" s="258"/>
      <c r="DY49" s="473"/>
      <c r="DZ49" s="258"/>
      <c r="EA49" s="258"/>
      <c r="EB49" s="258"/>
      <c r="EC49" s="258"/>
    </row>
    <row r="50" spans="5:133" s="257" customFormat="1" ht="12" x14ac:dyDescent="0.2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473"/>
      <c r="DL50" s="258"/>
      <c r="DM50" s="258"/>
      <c r="DN50" s="258"/>
      <c r="DO50" s="258"/>
      <c r="DP50" s="258"/>
      <c r="DQ50" s="258"/>
      <c r="DR50" s="258"/>
      <c r="DS50" s="258"/>
      <c r="DT50" s="258"/>
      <c r="DU50" s="258"/>
      <c r="DV50" s="258"/>
      <c r="DW50" s="258"/>
      <c r="DX50" s="258"/>
      <c r="DY50" s="473"/>
      <c r="DZ50" s="258"/>
      <c r="EA50" s="258"/>
      <c r="EB50" s="258"/>
      <c r="EC50" s="258"/>
    </row>
    <row r="51" spans="5:133" s="257" customFormat="1" ht="12" x14ac:dyDescent="0.2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473"/>
      <c r="DL51" s="258"/>
      <c r="DM51" s="258"/>
      <c r="DN51" s="258"/>
      <c r="DO51" s="258"/>
      <c r="DP51" s="258"/>
      <c r="DQ51" s="258"/>
      <c r="DR51" s="258"/>
      <c r="DS51" s="258"/>
      <c r="DT51" s="258"/>
      <c r="DU51" s="258"/>
      <c r="DV51" s="258"/>
      <c r="DW51" s="258"/>
      <c r="DX51" s="258"/>
      <c r="DY51" s="473"/>
      <c r="DZ51" s="258"/>
      <c r="EA51" s="258"/>
      <c r="EB51" s="258"/>
      <c r="EC51" s="258"/>
    </row>
    <row r="52" spans="5:133" s="257" customFormat="1" ht="12" x14ac:dyDescent="0.2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58"/>
      <c r="DD52" s="258"/>
      <c r="DE52" s="258"/>
      <c r="DF52" s="258"/>
      <c r="DG52" s="258"/>
      <c r="DH52" s="258"/>
      <c r="DI52" s="258"/>
      <c r="DJ52" s="258"/>
      <c r="DK52" s="473"/>
      <c r="DL52" s="258"/>
      <c r="DM52" s="258"/>
      <c r="DN52" s="258"/>
      <c r="DO52" s="258"/>
      <c r="DP52" s="258"/>
      <c r="DQ52" s="258"/>
      <c r="DR52" s="258"/>
      <c r="DS52" s="258"/>
      <c r="DT52" s="258"/>
      <c r="DU52" s="258"/>
      <c r="DV52" s="258"/>
      <c r="DW52" s="258"/>
      <c r="DX52" s="258"/>
      <c r="DY52" s="473"/>
      <c r="DZ52" s="258"/>
      <c r="EA52" s="258"/>
      <c r="EB52" s="258"/>
      <c r="EC52" s="258"/>
    </row>
    <row r="53" spans="5:133" s="257" customFormat="1" ht="12" x14ac:dyDescent="0.2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58"/>
      <c r="DD53" s="258"/>
      <c r="DE53" s="258"/>
      <c r="DF53" s="258"/>
      <c r="DG53" s="258"/>
      <c r="DH53" s="258"/>
      <c r="DI53" s="258"/>
      <c r="DJ53" s="258"/>
      <c r="DK53" s="473"/>
      <c r="DL53" s="258"/>
      <c r="DM53" s="258"/>
      <c r="DN53" s="258"/>
      <c r="DO53" s="258"/>
      <c r="DP53" s="258"/>
      <c r="DQ53" s="258"/>
      <c r="DR53" s="258"/>
      <c r="DS53" s="258"/>
      <c r="DT53" s="258"/>
      <c r="DU53" s="258"/>
      <c r="DV53" s="258"/>
      <c r="DW53" s="258"/>
      <c r="DX53" s="258"/>
      <c r="DY53" s="473"/>
      <c r="DZ53" s="258"/>
      <c r="EA53" s="258"/>
      <c r="EB53" s="258"/>
      <c r="EC53" s="258"/>
    </row>
    <row r="54" spans="5:133" s="257" customFormat="1" ht="12" x14ac:dyDescent="0.2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58"/>
      <c r="DD54" s="258"/>
      <c r="DE54" s="258"/>
      <c r="DF54" s="258"/>
      <c r="DG54" s="258"/>
      <c r="DH54" s="258"/>
      <c r="DI54" s="258"/>
      <c r="DJ54" s="258"/>
      <c r="DK54" s="473"/>
      <c r="DL54" s="258"/>
      <c r="DM54" s="258"/>
      <c r="DN54" s="258"/>
      <c r="DO54" s="258"/>
      <c r="DP54" s="258"/>
      <c r="DQ54" s="258"/>
      <c r="DR54" s="258"/>
      <c r="DS54" s="258"/>
      <c r="DT54" s="258"/>
      <c r="DU54" s="258"/>
      <c r="DV54" s="258"/>
      <c r="DW54" s="258"/>
      <c r="DX54" s="258"/>
      <c r="DY54" s="473"/>
      <c r="DZ54" s="258"/>
      <c r="EA54" s="258"/>
      <c r="EB54" s="258"/>
      <c r="EC54" s="258"/>
    </row>
    <row r="55" spans="5:133" s="257" customFormat="1" ht="12" x14ac:dyDescent="0.2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  <c r="DD55" s="258"/>
      <c r="DE55" s="258"/>
      <c r="DF55" s="258"/>
      <c r="DG55" s="258"/>
      <c r="DH55" s="258"/>
      <c r="DI55" s="258"/>
      <c r="DJ55" s="258"/>
      <c r="DK55" s="473"/>
      <c r="DL55" s="258"/>
      <c r="DM55" s="258"/>
      <c r="DN55" s="258"/>
      <c r="DO55" s="258"/>
      <c r="DP55" s="258"/>
      <c r="DQ55" s="258"/>
      <c r="DR55" s="258"/>
      <c r="DS55" s="258"/>
      <c r="DT55" s="258"/>
      <c r="DU55" s="258"/>
      <c r="DV55" s="258"/>
      <c r="DW55" s="258"/>
      <c r="DX55" s="258"/>
      <c r="DY55" s="473"/>
      <c r="DZ55" s="258"/>
      <c r="EA55" s="258"/>
      <c r="EB55" s="258"/>
      <c r="EC55" s="258"/>
    </row>
    <row r="56" spans="5:133" s="257" customFormat="1" ht="12" x14ac:dyDescent="0.2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58"/>
      <c r="DD56" s="258"/>
      <c r="DE56" s="258"/>
      <c r="DF56" s="258"/>
      <c r="DG56" s="258"/>
      <c r="DH56" s="258"/>
      <c r="DI56" s="258"/>
      <c r="DJ56" s="258"/>
      <c r="DK56" s="473"/>
      <c r="DL56" s="258"/>
      <c r="DM56" s="258"/>
      <c r="DN56" s="258"/>
      <c r="DO56" s="258"/>
      <c r="DP56" s="258"/>
      <c r="DQ56" s="258"/>
      <c r="DR56" s="258"/>
      <c r="DS56" s="258"/>
      <c r="DT56" s="258"/>
      <c r="DU56" s="258"/>
      <c r="DV56" s="258"/>
      <c r="DW56" s="258"/>
      <c r="DX56" s="258"/>
      <c r="DY56" s="473"/>
      <c r="DZ56" s="258"/>
      <c r="EA56" s="258"/>
      <c r="EB56" s="258"/>
      <c r="EC56" s="258"/>
    </row>
    <row r="57" spans="5:133" s="257" customFormat="1" ht="12" x14ac:dyDescent="0.2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473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  <c r="DV57" s="258"/>
      <c r="DW57" s="258"/>
      <c r="DX57" s="258"/>
      <c r="DY57" s="473"/>
      <c r="DZ57" s="258"/>
      <c r="EA57" s="258"/>
      <c r="EB57" s="258"/>
      <c r="EC57" s="258"/>
    </row>
    <row r="58" spans="5:133" s="257" customFormat="1" ht="12" x14ac:dyDescent="0.2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473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473"/>
      <c r="DZ58" s="258"/>
      <c r="EA58" s="258"/>
      <c r="EB58" s="258"/>
      <c r="EC58" s="258"/>
    </row>
    <row r="59" spans="5:133" s="257" customFormat="1" ht="12" x14ac:dyDescent="0.2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58"/>
      <c r="DA59" s="258"/>
      <c r="DB59" s="258"/>
      <c r="DC59" s="258"/>
      <c r="DD59" s="258"/>
      <c r="DE59" s="258"/>
      <c r="DF59" s="258"/>
      <c r="DG59" s="258"/>
      <c r="DH59" s="258"/>
      <c r="DI59" s="258"/>
      <c r="DJ59" s="258"/>
      <c r="DK59" s="473"/>
      <c r="DL59" s="258"/>
      <c r="DM59" s="258"/>
      <c r="DN59" s="258"/>
      <c r="DO59" s="258"/>
      <c r="DP59" s="258"/>
      <c r="DQ59" s="258"/>
      <c r="DR59" s="258"/>
      <c r="DS59" s="258"/>
      <c r="DT59" s="258"/>
      <c r="DU59" s="258"/>
      <c r="DV59" s="258"/>
      <c r="DW59" s="258"/>
      <c r="DX59" s="258"/>
      <c r="DY59" s="473"/>
      <c r="DZ59" s="258"/>
      <c r="EA59" s="258"/>
      <c r="EB59" s="258"/>
      <c r="EC59" s="258"/>
    </row>
    <row r="60" spans="5:133" s="257" customFormat="1" ht="12" x14ac:dyDescent="0.2"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473"/>
      <c r="DL60" s="258"/>
      <c r="DM60" s="258"/>
      <c r="DN60" s="258"/>
      <c r="DO60" s="258"/>
      <c r="DP60" s="258"/>
      <c r="DQ60" s="258"/>
      <c r="DR60" s="258"/>
      <c r="DS60" s="258"/>
      <c r="DT60" s="258"/>
      <c r="DU60" s="258"/>
      <c r="DV60" s="258"/>
      <c r="DW60" s="258"/>
      <c r="DX60" s="258"/>
      <c r="DY60" s="473"/>
      <c r="DZ60" s="258"/>
      <c r="EA60" s="258"/>
      <c r="EB60" s="258"/>
      <c r="EC60" s="258"/>
    </row>
    <row r="61" spans="5:133" s="257" customFormat="1" ht="12" x14ac:dyDescent="0.2"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58"/>
      <c r="DA61" s="258"/>
      <c r="DB61" s="258"/>
      <c r="DC61" s="258"/>
      <c r="DD61" s="258"/>
      <c r="DE61" s="258"/>
      <c r="DF61" s="258"/>
      <c r="DG61" s="258"/>
      <c r="DH61" s="258"/>
      <c r="DI61" s="258"/>
      <c r="DJ61" s="258"/>
      <c r="DK61" s="473"/>
      <c r="DL61" s="258"/>
      <c r="DM61" s="258"/>
      <c r="DN61" s="258"/>
      <c r="DO61" s="258"/>
      <c r="DP61" s="258"/>
      <c r="DQ61" s="258"/>
      <c r="DR61" s="258"/>
      <c r="DS61" s="258"/>
      <c r="DT61" s="258"/>
      <c r="DU61" s="258"/>
      <c r="DV61" s="258"/>
      <c r="DW61" s="258"/>
      <c r="DX61" s="258"/>
      <c r="DY61" s="473"/>
      <c r="DZ61" s="258"/>
      <c r="EA61" s="258"/>
      <c r="EB61" s="258"/>
      <c r="EC61" s="258"/>
    </row>
    <row r="62" spans="5:133" s="257" customFormat="1" ht="12" x14ac:dyDescent="0.2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58"/>
      <c r="DD62" s="258"/>
      <c r="DE62" s="258"/>
      <c r="DF62" s="258"/>
      <c r="DG62" s="258"/>
      <c r="DH62" s="258"/>
      <c r="DI62" s="258"/>
      <c r="DJ62" s="258"/>
      <c r="DK62" s="473"/>
      <c r="DL62" s="258"/>
      <c r="DM62" s="258"/>
      <c r="DN62" s="258"/>
      <c r="DO62" s="258"/>
      <c r="DP62" s="258"/>
      <c r="DQ62" s="258"/>
      <c r="DR62" s="258"/>
      <c r="DS62" s="258"/>
      <c r="DT62" s="258"/>
      <c r="DU62" s="258"/>
      <c r="DV62" s="258"/>
      <c r="DW62" s="258"/>
      <c r="DX62" s="258"/>
      <c r="DY62" s="473"/>
      <c r="DZ62" s="258"/>
      <c r="EA62" s="258"/>
      <c r="EB62" s="258"/>
      <c r="EC62" s="258"/>
    </row>
    <row r="63" spans="5:133" s="257" customFormat="1" ht="12" x14ac:dyDescent="0.2"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58"/>
      <c r="DD63" s="258"/>
      <c r="DE63" s="258"/>
      <c r="DF63" s="258"/>
      <c r="DG63" s="258"/>
      <c r="DH63" s="258"/>
      <c r="DI63" s="258"/>
      <c r="DJ63" s="258"/>
      <c r="DK63" s="473"/>
      <c r="DL63" s="258"/>
      <c r="DM63" s="258"/>
      <c r="DN63" s="258"/>
      <c r="DO63" s="258"/>
      <c r="DP63" s="258"/>
      <c r="DQ63" s="258"/>
      <c r="DR63" s="258"/>
      <c r="DS63" s="258"/>
      <c r="DT63" s="258"/>
      <c r="DU63" s="258"/>
      <c r="DV63" s="258"/>
      <c r="DW63" s="258"/>
      <c r="DX63" s="258"/>
      <c r="DY63" s="473"/>
      <c r="DZ63" s="258"/>
      <c r="EA63" s="258"/>
      <c r="EB63" s="258"/>
      <c r="EC63" s="258"/>
    </row>
    <row r="64" spans="5:133" s="257" customFormat="1" ht="12" x14ac:dyDescent="0.2"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58"/>
      <c r="DD64" s="258"/>
      <c r="DE64" s="258"/>
      <c r="DF64" s="258"/>
      <c r="DG64" s="258"/>
      <c r="DH64" s="258"/>
      <c r="DI64" s="258"/>
      <c r="DJ64" s="258"/>
      <c r="DK64" s="473"/>
      <c r="DL64" s="258"/>
      <c r="DM64" s="258"/>
      <c r="DN64" s="258"/>
      <c r="DO64" s="258"/>
      <c r="DP64" s="258"/>
      <c r="DQ64" s="258"/>
      <c r="DR64" s="258"/>
      <c r="DS64" s="258"/>
      <c r="DT64" s="258"/>
      <c r="DU64" s="258"/>
      <c r="DV64" s="258"/>
      <c r="DW64" s="258"/>
      <c r="DX64" s="258"/>
      <c r="DY64" s="473"/>
      <c r="DZ64" s="258"/>
      <c r="EA64" s="258"/>
      <c r="EB64" s="258"/>
      <c r="EC64" s="258"/>
    </row>
    <row r="65" spans="2:216" s="257" customFormat="1" ht="12" x14ac:dyDescent="0.2"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58"/>
      <c r="DD65" s="258"/>
      <c r="DE65" s="258"/>
      <c r="DF65" s="258"/>
      <c r="DG65" s="258"/>
      <c r="DH65" s="258"/>
      <c r="DI65" s="258"/>
      <c r="DJ65" s="258"/>
      <c r="DK65" s="473"/>
      <c r="DL65" s="258"/>
      <c r="DM65" s="258"/>
      <c r="DN65" s="258"/>
      <c r="DO65" s="258"/>
      <c r="DP65" s="258"/>
      <c r="DQ65" s="258"/>
      <c r="DR65" s="258"/>
      <c r="DS65" s="258"/>
      <c r="DT65" s="258"/>
      <c r="DU65" s="258"/>
      <c r="DV65" s="258"/>
      <c r="DW65" s="258"/>
      <c r="DX65" s="258"/>
      <c r="DY65" s="473"/>
      <c r="DZ65" s="258"/>
      <c r="EA65" s="258"/>
      <c r="EB65" s="258"/>
      <c r="EC65" s="258"/>
    </row>
    <row r="66" spans="2:216" s="257" customFormat="1" ht="12" x14ac:dyDescent="0.2"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58"/>
      <c r="DD66" s="258"/>
      <c r="DE66" s="258"/>
      <c r="DF66" s="258"/>
      <c r="DG66" s="258"/>
      <c r="DH66" s="258"/>
      <c r="DI66" s="258"/>
      <c r="DJ66" s="258"/>
      <c r="DK66" s="473"/>
      <c r="DL66" s="258"/>
      <c r="DM66" s="258"/>
      <c r="DN66" s="258"/>
      <c r="DO66" s="258"/>
      <c r="DP66" s="258"/>
      <c r="DQ66" s="258"/>
      <c r="DR66" s="258"/>
      <c r="DS66" s="258"/>
      <c r="DT66" s="258"/>
      <c r="DU66" s="258"/>
      <c r="DV66" s="258"/>
      <c r="DW66" s="258"/>
      <c r="DX66" s="258"/>
      <c r="DY66" s="473"/>
      <c r="DZ66" s="258"/>
      <c r="EA66" s="258"/>
      <c r="EB66" s="258"/>
      <c r="EC66" s="258"/>
    </row>
    <row r="67" spans="2:216" s="257" customFormat="1" ht="12" x14ac:dyDescent="0.2"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58"/>
      <c r="DD67" s="258"/>
      <c r="DE67" s="258"/>
      <c r="DF67" s="258"/>
      <c r="DG67" s="258"/>
      <c r="DH67" s="258"/>
      <c r="DI67" s="258"/>
      <c r="DJ67" s="258"/>
      <c r="DK67" s="473"/>
      <c r="DL67" s="258"/>
      <c r="DM67" s="258"/>
      <c r="DN67" s="258"/>
      <c r="DO67" s="258"/>
      <c r="DP67" s="258"/>
      <c r="DQ67" s="258"/>
      <c r="DR67" s="258"/>
      <c r="DS67" s="258"/>
      <c r="DT67" s="258"/>
      <c r="DU67" s="258"/>
      <c r="DV67" s="258"/>
      <c r="DW67" s="258"/>
      <c r="DX67" s="258"/>
      <c r="DY67" s="473"/>
      <c r="DZ67" s="258"/>
      <c r="EA67" s="258"/>
      <c r="EB67" s="258"/>
      <c r="EC67" s="258"/>
    </row>
    <row r="68" spans="2:216" s="257" customFormat="1" ht="12" x14ac:dyDescent="0.2"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58"/>
      <c r="DD68" s="258"/>
      <c r="DE68" s="258"/>
      <c r="DF68" s="258"/>
      <c r="DG68" s="258"/>
      <c r="DH68" s="258"/>
      <c r="DI68" s="258"/>
      <c r="DJ68" s="258"/>
      <c r="DK68" s="473"/>
      <c r="DL68" s="258"/>
      <c r="DM68" s="258"/>
      <c r="DN68" s="258"/>
      <c r="DO68" s="258"/>
      <c r="DP68" s="258"/>
      <c r="DQ68" s="258"/>
      <c r="DR68" s="258"/>
      <c r="DS68" s="258"/>
      <c r="DT68" s="258"/>
      <c r="DU68" s="258"/>
      <c r="DV68" s="258"/>
      <c r="DW68" s="258"/>
      <c r="DX68" s="258"/>
      <c r="DY68" s="473"/>
      <c r="DZ68" s="258"/>
      <c r="EA68" s="258"/>
      <c r="EB68" s="258"/>
      <c r="EC68" s="258"/>
    </row>
    <row r="69" spans="2:216" s="257" customFormat="1" ht="12" x14ac:dyDescent="0.2"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58"/>
      <c r="DD69" s="258"/>
      <c r="DE69" s="258"/>
      <c r="DF69" s="258"/>
      <c r="DG69" s="258"/>
      <c r="DH69" s="258"/>
      <c r="DI69" s="258"/>
      <c r="DJ69" s="258"/>
      <c r="DK69" s="473"/>
      <c r="DL69" s="258"/>
      <c r="DM69" s="258"/>
      <c r="DN69" s="258"/>
      <c r="DO69" s="258"/>
      <c r="DP69" s="258"/>
      <c r="DQ69" s="258"/>
      <c r="DR69" s="258"/>
      <c r="DS69" s="258"/>
      <c r="DT69" s="258"/>
      <c r="DU69" s="258"/>
      <c r="DV69" s="258"/>
      <c r="DW69" s="258"/>
      <c r="DX69" s="258"/>
      <c r="DY69" s="473"/>
      <c r="DZ69" s="258"/>
      <c r="EA69" s="258"/>
      <c r="EB69" s="258"/>
      <c r="EC69" s="258"/>
    </row>
    <row r="70" spans="2:216" s="257" customFormat="1" ht="12" x14ac:dyDescent="0.2"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58"/>
      <c r="DD70" s="258"/>
      <c r="DE70" s="258"/>
      <c r="DF70" s="258"/>
      <c r="DG70" s="258"/>
      <c r="DH70" s="258"/>
      <c r="DI70" s="258"/>
      <c r="DJ70" s="258"/>
      <c r="DK70" s="473"/>
      <c r="DL70" s="258"/>
      <c r="DM70" s="258"/>
      <c r="DN70" s="258"/>
      <c r="DO70" s="258"/>
      <c r="DP70" s="258"/>
      <c r="DQ70" s="258"/>
      <c r="DR70" s="258"/>
      <c r="DS70" s="258"/>
      <c r="DT70" s="258"/>
      <c r="DU70" s="258"/>
      <c r="DV70" s="258"/>
      <c r="DW70" s="258"/>
      <c r="DX70" s="258"/>
      <c r="DY70" s="473"/>
      <c r="DZ70" s="258"/>
      <c r="EA70" s="258"/>
      <c r="EB70" s="258"/>
      <c r="EC70" s="258"/>
    </row>
    <row r="71" spans="2:216" s="257" customFormat="1" ht="12" x14ac:dyDescent="0.2"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58"/>
      <c r="DA71" s="258"/>
      <c r="DB71" s="258"/>
      <c r="DC71" s="258"/>
      <c r="DD71" s="258"/>
      <c r="DE71" s="258"/>
      <c r="DF71" s="258"/>
      <c r="DG71" s="258"/>
      <c r="DH71" s="258"/>
      <c r="DI71" s="258"/>
      <c r="DJ71" s="258"/>
      <c r="DK71" s="473"/>
      <c r="DL71" s="258"/>
      <c r="DM71" s="258"/>
      <c r="DN71" s="258"/>
      <c r="DO71" s="258"/>
      <c r="DP71" s="258"/>
      <c r="DQ71" s="258"/>
      <c r="DR71" s="258"/>
      <c r="DS71" s="258"/>
      <c r="DT71" s="258"/>
      <c r="DU71" s="258"/>
      <c r="DV71" s="258"/>
      <c r="DW71" s="258"/>
      <c r="DX71" s="258"/>
      <c r="DY71" s="473"/>
      <c r="DZ71" s="258"/>
      <c r="EA71" s="258"/>
      <c r="EB71" s="258"/>
      <c r="EC71" s="258"/>
    </row>
    <row r="72" spans="2:216" s="257" customFormat="1" ht="12" x14ac:dyDescent="0.2"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58"/>
      <c r="DD72" s="258"/>
      <c r="DE72" s="258"/>
      <c r="DF72" s="258"/>
      <c r="DG72" s="258"/>
      <c r="DH72" s="258"/>
      <c r="DI72" s="258"/>
      <c r="DJ72" s="258"/>
      <c r="DK72" s="473"/>
      <c r="DL72" s="258"/>
      <c r="DM72" s="258"/>
      <c r="DN72" s="258"/>
      <c r="DO72" s="258"/>
      <c r="DP72" s="258"/>
      <c r="DQ72" s="258"/>
      <c r="DR72" s="258"/>
      <c r="DS72" s="258"/>
      <c r="DT72" s="258"/>
      <c r="DU72" s="258"/>
      <c r="DV72" s="258"/>
      <c r="DW72" s="258"/>
      <c r="DX72" s="258"/>
      <c r="DY72" s="473"/>
      <c r="DZ72" s="258"/>
      <c r="EA72" s="258"/>
      <c r="EB72" s="258"/>
      <c r="EC72" s="258"/>
    </row>
    <row r="73" spans="2:216" s="257" customFormat="1" ht="12" x14ac:dyDescent="0.2"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58"/>
      <c r="DA73" s="258"/>
      <c r="DB73" s="258"/>
      <c r="DC73" s="258"/>
      <c r="DD73" s="258"/>
      <c r="DE73" s="258"/>
      <c r="DF73" s="258"/>
      <c r="DG73" s="258"/>
      <c r="DH73" s="258"/>
      <c r="DI73" s="258"/>
      <c r="DJ73" s="258"/>
      <c r="DK73" s="473"/>
      <c r="DL73" s="258"/>
      <c r="DM73" s="258"/>
      <c r="DN73" s="258"/>
      <c r="DO73" s="258"/>
      <c r="DP73" s="258"/>
      <c r="DQ73" s="258"/>
      <c r="DR73" s="258"/>
      <c r="DS73" s="258"/>
      <c r="DT73" s="258"/>
      <c r="DU73" s="258"/>
      <c r="DV73" s="258"/>
      <c r="DW73" s="258"/>
      <c r="DX73" s="258"/>
      <c r="DY73" s="473"/>
      <c r="DZ73" s="258"/>
      <c r="EA73" s="258"/>
      <c r="EB73" s="258"/>
      <c r="EC73" s="258"/>
    </row>
    <row r="74" spans="2:216" s="257" customFormat="1" ht="12" x14ac:dyDescent="0.2"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58"/>
      <c r="DD74" s="258"/>
      <c r="DE74" s="258"/>
      <c r="DF74" s="258"/>
      <c r="DG74" s="258"/>
      <c r="DH74" s="258"/>
      <c r="DI74" s="258"/>
      <c r="DJ74" s="258"/>
      <c r="DK74" s="473"/>
      <c r="DL74" s="258"/>
      <c r="DM74" s="258"/>
      <c r="DN74" s="258"/>
      <c r="DO74" s="258"/>
      <c r="DP74" s="258"/>
      <c r="DQ74" s="258"/>
      <c r="DR74" s="258"/>
      <c r="DS74" s="258"/>
      <c r="DT74" s="258"/>
      <c r="DU74" s="258"/>
      <c r="DV74" s="258"/>
      <c r="DW74" s="258"/>
      <c r="DX74" s="258"/>
      <c r="DY74" s="473"/>
      <c r="DZ74" s="258"/>
      <c r="EA74" s="258"/>
      <c r="EB74" s="258"/>
      <c r="EC74" s="258"/>
    </row>
    <row r="75" spans="2:216" s="257" customFormat="1" ht="12" x14ac:dyDescent="0.2"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58"/>
      <c r="DD75" s="258"/>
      <c r="DE75" s="258"/>
      <c r="DF75" s="258"/>
      <c r="DG75" s="258"/>
      <c r="DH75" s="258"/>
      <c r="DI75" s="258"/>
      <c r="DJ75" s="258"/>
      <c r="DK75" s="473"/>
      <c r="DL75" s="258"/>
      <c r="DM75" s="258"/>
      <c r="DN75" s="258"/>
      <c r="DO75" s="258"/>
      <c r="DP75" s="258"/>
      <c r="DQ75" s="258"/>
      <c r="DR75" s="258"/>
      <c r="DS75" s="258"/>
      <c r="DT75" s="258"/>
      <c r="DU75" s="258"/>
      <c r="DV75" s="258"/>
      <c r="DW75" s="258"/>
      <c r="DX75" s="258"/>
      <c r="DY75" s="473"/>
      <c r="DZ75" s="258"/>
      <c r="EA75" s="258"/>
      <c r="EB75" s="258"/>
      <c r="EC75" s="258"/>
    </row>
    <row r="76" spans="2:216" s="257" customFormat="1" ht="12" x14ac:dyDescent="0.2"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58"/>
      <c r="DD76" s="258"/>
      <c r="DE76" s="258"/>
      <c r="DF76" s="258"/>
      <c r="DG76" s="258"/>
      <c r="DH76" s="258"/>
      <c r="DI76" s="258"/>
      <c r="DJ76" s="258"/>
      <c r="DK76" s="473"/>
      <c r="DL76" s="258"/>
      <c r="DM76" s="258"/>
      <c r="DN76" s="258"/>
      <c r="DO76" s="258"/>
      <c r="DP76" s="258"/>
      <c r="DQ76" s="258"/>
      <c r="DR76" s="258"/>
      <c r="DS76" s="258"/>
      <c r="DT76" s="258"/>
      <c r="DU76" s="258"/>
      <c r="DV76" s="258"/>
      <c r="DW76" s="258"/>
      <c r="DX76" s="258"/>
      <c r="DY76" s="473"/>
      <c r="DZ76" s="258"/>
      <c r="EA76" s="258"/>
      <c r="EB76" s="258"/>
      <c r="EC76" s="258"/>
    </row>
    <row r="77" spans="2:216" s="277" customFormat="1" ht="12" x14ac:dyDescent="0.2">
      <c r="B77" s="257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58"/>
      <c r="DD77" s="258"/>
      <c r="DE77" s="258"/>
      <c r="DF77" s="258"/>
      <c r="DG77" s="258"/>
      <c r="DH77" s="258"/>
      <c r="DI77" s="258"/>
      <c r="DJ77" s="258"/>
      <c r="DK77" s="473"/>
      <c r="DL77" s="258"/>
      <c r="DM77" s="258"/>
      <c r="DN77" s="258"/>
      <c r="DO77" s="258"/>
      <c r="DP77" s="258"/>
      <c r="DQ77" s="258"/>
      <c r="DR77" s="258"/>
      <c r="DS77" s="258"/>
      <c r="DT77" s="258"/>
      <c r="DU77" s="258"/>
      <c r="DV77" s="258"/>
      <c r="DW77" s="258"/>
      <c r="DX77" s="258"/>
      <c r="DY77" s="473"/>
      <c r="DZ77" s="258"/>
      <c r="EA77" s="258"/>
      <c r="EB77" s="258"/>
      <c r="EC77" s="258"/>
      <c r="HG77" s="257"/>
      <c r="HH77" s="257"/>
    </row>
    <row r="78" spans="2:216" s="277" customFormat="1" ht="12" x14ac:dyDescent="0.2">
      <c r="B78" s="257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58"/>
      <c r="DD78" s="258"/>
      <c r="DE78" s="258"/>
      <c r="DF78" s="258"/>
      <c r="DG78" s="258"/>
      <c r="DH78" s="258"/>
      <c r="DI78" s="258"/>
      <c r="DJ78" s="258"/>
      <c r="DK78" s="473"/>
      <c r="DL78" s="258"/>
      <c r="DM78" s="258"/>
      <c r="DN78" s="258"/>
      <c r="DO78" s="258"/>
      <c r="DP78" s="258"/>
      <c r="DQ78" s="258"/>
      <c r="DR78" s="258"/>
      <c r="DS78" s="258"/>
      <c r="DT78" s="258"/>
      <c r="DU78" s="258"/>
      <c r="DV78" s="258"/>
      <c r="DW78" s="258"/>
      <c r="DX78" s="258"/>
      <c r="DY78" s="473"/>
      <c r="DZ78" s="258"/>
      <c r="EA78" s="258"/>
      <c r="EB78" s="258"/>
      <c r="EC78" s="258"/>
      <c r="HG78" s="257"/>
      <c r="HH78" s="257"/>
    </row>
    <row r="79" spans="2:216" s="277" customFormat="1" ht="12" x14ac:dyDescent="0.2">
      <c r="B79" s="257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58"/>
      <c r="DD79" s="258"/>
      <c r="DE79" s="258"/>
      <c r="DF79" s="258"/>
      <c r="DG79" s="258"/>
      <c r="DH79" s="258"/>
      <c r="DI79" s="258"/>
      <c r="DJ79" s="258"/>
      <c r="DK79" s="473"/>
      <c r="DL79" s="258"/>
      <c r="DM79" s="258"/>
      <c r="DN79" s="258"/>
      <c r="DO79" s="258"/>
      <c r="DP79" s="258"/>
      <c r="DQ79" s="258"/>
      <c r="DR79" s="258"/>
      <c r="DS79" s="258"/>
      <c r="DT79" s="258"/>
      <c r="DU79" s="258"/>
      <c r="DV79" s="258"/>
      <c r="DW79" s="258"/>
      <c r="DX79" s="258"/>
      <c r="DY79" s="473"/>
      <c r="DZ79" s="258"/>
      <c r="EA79" s="258"/>
      <c r="EB79" s="258"/>
      <c r="EC79" s="258"/>
      <c r="HG79" s="257"/>
      <c r="HH79" s="257"/>
    </row>
    <row r="80" spans="2:216" s="277" customFormat="1" ht="12" x14ac:dyDescent="0.2">
      <c r="B80" s="257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58"/>
      <c r="DD80" s="258"/>
      <c r="DE80" s="258"/>
      <c r="DF80" s="258"/>
      <c r="DG80" s="258"/>
      <c r="DH80" s="258"/>
      <c r="DI80" s="258"/>
      <c r="DJ80" s="258"/>
      <c r="DK80" s="473"/>
      <c r="DL80" s="258"/>
      <c r="DM80" s="258"/>
      <c r="DN80" s="258"/>
      <c r="DO80" s="258"/>
      <c r="DP80" s="258"/>
      <c r="DQ80" s="258"/>
      <c r="DR80" s="258"/>
      <c r="DS80" s="258"/>
      <c r="DT80" s="258"/>
      <c r="DU80" s="258"/>
      <c r="DV80" s="258"/>
      <c r="DW80" s="258"/>
      <c r="DX80" s="258"/>
      <c r="DY80" s="473"/>
      <c r="DZ80" s="258"/>
      <c r="EA80" s="258"/>
      <c r="EB80" s="258"/>
      <c r="EC80" s="258"/>
      <c r="HG80" s="257"/>
      <c r="HH80" s="257"/>
    </row>
    <row r="81" spans="2:216" s="277" customFormat="1" ht="12" x14ac:dyDescent="0.2">
      <c r="B81" s="257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8"/>
      <c r="CI81" s="258"/>
      <c r="CJ81" s="258"/>
      <c r="CK81" s="258"/>
      <c r="CL81" s="258"/>
      <c r="CM81" s="258"/>
      <c r="CN81" s="258"/>
      <c r="CO81" s="258"/>
      <c r="CP81" s="258"/>
      <c r="CQ81" s="258"/>
      <c r="CR81" s="258"/>
      <c r="CS81" s="258"/>
      <c r="CT81" s="258"/>
      <c r="CU81" s="258"/>
      <c r="CV81" s="258"/>
      <c r="CW81" s="258"/>
      <c r="CX81" s="258"/>
      <c r="CY81" s="258"/>
      <c r="CZ81" s="258"/>
      <c r="DA81" s="258"/>
      <c r="DB81" s="258"/>
      <c r="DC81" s="258"/>
      <c r="DD81" s="258"/>
      <c r="DE81" s="258"/>
      <c r="DF81" s="258"/>
      <c r="DG81" s="258"/>
      <c r="DH81" s="258"/>
      <c r="DI81" s="258"/>
      <c r="DJ81" s="258"/>
      <c r="DK81" s="473"/>
      <c r="DL81" s="258"/>
      <c r="DM81" s="258"/>
      <c r="DN81" s="258"/>
      <c r="DO81" s="258"/>
      <c r="DP81" s="258"/>
      <c r="DQ81" s="258"/>
      <c r="DR81" s="258"/>
      <c r="DS81" s="258"/>
      <c r="DT81" s="258"/>
      <c r="DU81" s="258"/>
      <c r="DV81" s="258"/>
      <c r="DW81" s="258"/>
      <c r="DX81" s="258"/>
      <c r="DY81" s="473"/>
      <c r="DZ81" s="258"/>
      <c r="EA81" s="258"/>
      <c r="EB81" s="258"/>
      <c r="EC81" s="258"/>
      <c r="HG81" s="257"/>
      <c r="HH81" s="257"/>
    </row>
    <row r="82" spans="2:216" x14ac:dyDescent="0.2"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57"/>
      <c r="CZ82" s="257"/>
      <c r="DA82" s="257"/>
      <c r="DB82" s="257"/>
      <c r="DC82" s="257"/>
      <c r="DD82" s="257"/>
      <c r="DE82" s="257"/>
      <c r="DF82" s="257"/>
      <c r="DG82" s="257"/>
      <c r="DH82" s="257"/>
      <c r="DI82" s="257"/>
      <c r="DJ82" s="257"/>
      <c r="DK82" s="474"/>
      <c r="DL82" s="257"/>
      <c r="DM82" s="257"/>
      <c r="DN82" s="257"/>
      <c r="DO82" s="257"/>
      <c r="DP82" s="257"/>
      <c r="DQ82" s="257"/>
      <c r="DR82" s="257"/>
      <c r="DS82" s="257"/>
      <c r="DT82" s="257"/>
      <c r="DU82" s="257"/>
      <c r="DV82" s="257"/>
      <c r="DW82" s="257"/>
      <c r="DX82" s="257"/>
      <c r="DY82" s="474"/>
      <c r="DZ82" s="257"/>
      <c r="HG82" s="277"/>
      <c r="HH82" s="277"/>
    </row>
    <row r="83" spans="2:216" x14ac:dyDescent="0.2"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7"/>
      <c r="DB83" s="277"/>
      <c r="DC83" s="277"/>
      <c r="DD83" s="277"/>
      <c r="DE83" s="277"/>
      <c r="DF83" s="277"/>
      <c r="DG83" s="277"/>
      <c r="DH83" s="277"/>
      <c r="DI83" s="277"/>
      <c r="DJ83" s="277"/>
      <c r="DK83" s="475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475"/>
      <c r="DZ83" s="277"/>
      <c r="HG83" s="277"/>
      <c r="HH83" s="277"/>
    </row>
    <row r="84" spans="2:216" x14ac:dyDescent="0.2"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7"/>
      <c r="BK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7"/>
      <c r="DB84" s="277"/>
      <c r="DC84" s="277"/>
      <c r="DD84" s="277"/>
      <c r="DE84" s="277"/>
      <c r="DF84" s="277"/>
      <c r="DG84" s="277"/>
      <c r="DH84" s="277"/>
      <c r="DI84" s="277"/>
      <c r="DJ84" s="277"/>
      <c r="DK84" s="475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475"/>
      <c r="DZ84" s="277"/>
      <c r="HG84" s="277"/>
      <c r="HH84" s="277"/>
    </row>
    <row r="85" spans="2:216" x14ac:dyDescent="0.2"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7"/>
      <c r="DB85" s="277"/>
      <c r="DC85" s="277"/>
      <c r="DD85" s="277"/>
      <c r="DE85" s="277"/>
      <c r="DF85" s="277"/>
      <c r="DG85" s="277"/>
      <c r="DH85" s="277"/>
      <c r="DI85" s="277"/>
      <c r="DJ85" s="277"/>
      <c r="DK85" s="475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475"/>
      <c r="DZ85" s="277"/>
      <c r="HG85" s="277"/>
      <c r="HH85" s="277"/>
    </row>
    <row r="86" spans="2:216" x14ac:dyDescent="0.2"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7"/>
      <c r="DB86" s="277"/>
      <c r="DC86" s="277"/>
      <c r="DD86" s="277"/>
      <c r="DE86" s="277"/>
      <c r="DF86" s="277"/>
      <c r="DG86" s="277"/>
      <c r="DH86" s="277"/>
      <c r="DI86" s="277"/>
      <c r="DJ86" s="277"/>
      <c r="DK86" s="475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475"/>
      <c r="DZ86" s="277"/>
      <c r="HG86" s="277"/>
      <c r="HH86" s="277"/>
    </row>
    <row r="87" spans="2:216" x14ac:dyDescent="0.2">
      <c r="CY87" s="277"/>
      <c r="CZ87" s="277"/>
      <c r="DA87" s="277"/>
      <c r="DB87" s="277"/>
      <c r="DC87" s="277"/>
      <c r="DD87" s="277"/>
      <c r="DE87" s="277"/>
      <c r="DF87" s="277"/>
      <c r="DG87" s="277"/>
      <c r="DH87" s="277"/>
      <c r="DI87" s="277"/>
      <c r="DJ87" s="277"/>
      <c r="DK87" s="475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475"/>
      <c r="DZ87" s="277"/>
    </row>
  </sheetData>
  <autoFilter ref="B5:C13" xr:uid="{00000000-0001-0000-1900-000000000000}"/>
  <mergeCells count="18"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  <mergeCell ref="CY4:DK4"/>
    <mergeCell ref="DM4:DY4"/>
    <mergeCell ref="CK2:CW2"/>
    <mergeCell ref="CY2:DK2"/>
    <mergeCell ref="DM2:DY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FO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FG6" sqref="FG6"/>
    </sheetView>
  </sheetViews>
  <sheetFormatPr baseColWidth="10" defaultColWidth="4" defaultRowHeight="12.75" x14ac:dyDescent="0.2"/>
  <cols>
    <col min="1" max="1" width="2.42578125" style="250" customWidth="1"/>
    <col min="2" max="2" width="7.140625" style="250" customWidth="1"/>
    <col min="3" max="3" width="33.140625" style="250" bestFit="1" customWidth="1"/>
    <col min="4" max="4" width="1.5703125" customWidth="1"/>
    <col min="5" max="8" width="4" style="251" bestFit="1" customWidth="1"/>
    <col min="9" max="9" width="5" style="251" bestFit="1" customWidth="1"/>
    <col min="10" max="11" width="4" style="251" bestFit="1" customWidth="1"/>
    <col min="12" max="13" width="5" style="251" bestFit="1" customWidth="1"/>
    <col min="14" max="14" width="4" style="251" bestFit="1" customWidth="1"/>
    <col min="15" max="15" width="3.85546875" style="251" bestFit="1" customWidth="1"/>
    <col min="16" max="16" width="3.42578125" style="251" bestFit="1" customWidth="1"/>
    <col min="17" max="17" width="6.85546875" style="251" customWidth="1"/>
    <col min="18" max="18" width="5.28515625" style="252" bestFit="1" customWidth="1"/>
    <col min="19" max="23" width="4.42578125" style="251" bestFit="1" customWidth="1"/>
    <col min="24" max="24" width="3.5703125" style="251" bestFit="1" customWidth="1"/>
    <col min="25" max="26" width="4.42578125" style="251" bestFit="1" customWidth="1"/>
    <col min="27" max="27" width="3.85546875" style="251" bestFit="1" customWidth="1"/>
    <col min="28" max="28" width="4.42578125" style="251" bestFit="1" customWidth="1"/>
    <col min="29" max="29" width="4" style="251" customWidth="1"/>
    <col min="30" max="30" width="3.42578125" style="251" bestFit="1" customWidth="1"/>
    <col min="31" max="31" width="5.5703125" style="251" bestFit="1" customWidth="1"/>
    <col min="32" max="32" width="4.85546875" style="252" customWidth="1"/>
    <col min="33" max="33" width="5.5703125" style="251" customWidth="1"/>
    <col min="34" max="37" width="5.7109375" style="251" bestFit="1" customWidth="1"/>
    <col min="38" max="38" width="6.140625" style="251" customWidth="1"/>
    <col min="39" max="39" width="6.85546875" style="251" customWidth="1"/>
    <col min="40" max="41" width="4.85546875" style="251" bestFit="1" customWidth="1"/>
    <col min="42" max="42" width="5" style="251" bestFit="1" customWidth="1"/>
    <col min="43" max="44" width="4.85546875" style="251" bestFit="1" customWidth="1"/>
    <col min="45" max="45" width="6" style="251" bestFit="1" customWidth="1"/>
    <col min="46" max="46" width="4.85546875" style="252" customWidth="1"/>
    <col min="47" max="47" width="5.5703125" style="251" bestFit="1" customWidth="1"/>
    <col min="48" max="48" width="6" style="251" bestFit="1" customWidth="1"/>
    <col min="49" max="50" width="5.7109375" style="251" bestFit="1" customWidth="1"/>
    <col min="51" max="51" width="4.5703125" style="251" bestFit="1" customWidth="1"/>
    <col min="52" max="52" width="5.7109375" style="251" bestFit="1" customWidth="1"/>
    <col min="53" max="54" width="4.5703125" style="251" bestFit="1" customWidth="1"/>
    <col min="55" max="55" width="5" style="251" bestFit="1" customWidth="1"/>
    <col min="56" max="58" width="4" style="251" bestFit="1" customWidth="1"/>
    <col min="59" max="59" width="7.140625" style="251" customWidth="1"/>
    <col min="60" max="60" width="5.28515625" style="252" customWidth="1"/>
    <col min="61" max="61" width="5.7109375" style="251" bestFit="1" customWidth="1"/>
    <col min="62" max="68" width="5.7109375" style="251" customWidth="1"/>
    <col min="69" max="69" width="4.85546875" style="251" customWidth="1"/>
    <col min="70" max="72" width="5.7109375" style="251" customWidth="1"/>
    <col min="73" max="73" width="6.85546875" style="251" bestFit="1" customWidth="1"/>
    <col min="74" max="74" width="1.42578125" style="250" customWidth="1"/>
    <col min="75" max="75" width="5.7109375" style="251" bestFit="1" customWidth="1"/>
    <col min="76" max="82" width="5.7109375" style="251" customWidth="1"/>
    <col min="83" max="83" width="4.85546875" style="251" customWidth="1"/>
    <col min="84" max="86" width="5.7109375" style="251" customWidth="1"/>
    <col min="87" max="87" width="6.85546875" style="251" bestFit="1" customWidth="1"/>
    <col min="88" max="88" width="2.140625" style="250" customWidth="1"/>
    <col min="89" max="89" width="12" style="285" customWidth="1"/>
    <col min="90" max="96" width="5.7109375" style="285" customWidth="1"/>
    <col min="97" max="97" width="8" style="285" customWidth="1"/>
    <col min="98" max="100" width="5.7109375" style="285" customWidth="1"/>
    <col min="101" max="101" width="6.85546875" style="285" bestFit="1" customWidth="1"/>
    <col min="102" max="102" width="2" style="250" customWidth="1"/>
    <col min="103" max="111" width="6" style="250" bestFit="1" customWidth="1"/>
    <col min="112" max="112" width="4.42578125" style="250" bestFit="1" customWidth="1"/>
    <col min="113" max="114" width="3.5703125" style="250" bestFit="1" customWidth="1"/>
    <col min="115" max="115" width="7" style="250" bestFit="1" customWidth="1"/>
    <col min="116" max="128" width="4" style="250"/>
    <col min="129" max="129" width="5.28515625" style="250" customWidth="1"/>
    <col min="130" max="142" width="4" style="250"/>
    <col min="143" max="143" width="4.7109375" style="250" customWidth="1"/>
    <col min="144" max="144" width="1" style="250" customWidth="1"/>
    <col min="145" max="153" width="5" style="250" bestFit="1" customWidth="1"/>
    <col min="154" max="154" width="3.7109375" style="250" bestFit="1" customWidth="1"/>
    <col min="155" max="155" width="3.140625" style="250" bestFit="1" customWidth="1"/>
    <col min="156" max="156" width="3.5703125" style="250" bestFit="1" customWidth="1"/>
    <col min="157" max="157" width="6" style="250" bestFit="1" customWidth="1"/>
    <col min="158" max="158" width="1.140625" style="250" customWidth="1"/>
    <col min="159" max="167" width="5" style="250" bestFit="1" customWidth="1"/>
    <col min="168" max="168" width="3.7109375" style="250" bestFit="1" customWidth="1"/>
    <col min="169" max="170" width="3.5703125" style="250" bestFit="1" customWidth="1"/>
    <col min="171" max="171" width="6.28515625" style="250" bestFit="1" customWidth="1"/>
    <col min="172" max="16384" width="4" style="250"/>
  </cols>
  <sheetData>
    <row r="1" spans="2:171" ht="15.75" customHeight="1" x14ac:dyDescent="0.25">
      <c r="C1" s="284" t="s">
        <v>212</v>
      </c>
    </row>
    <row r="2" spans="2:171" ht="65.25" customHeight="1" x14ac:dyDescent="0.3">
      <c r="C2" s="254" t="str">
        <f>+NOMBRE!B7</f>
        <v>ENERO - MAYO 2024</v>
      </c>
      <c r="E2" s="976" t="s">
        <v>453</v>
      </c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8"/>
      <c r="R2" s="286"/>
      <c r="S2" s="976" t="s">
        <v>454</v>
      </c>
      <c r="T2" s="977"/>
      <c r="U2" s="977"/>
      <c r="V2" s="977"/>
      <c r="W2" s="977"/>
      <c r="X2" s="977"/>
      <c r="Y2" s="977"/>
      <c r="Z2" s="977"/>
      <c r="AA2" s="977"/>
      <c r="AB2" s="977"/>
      <c r="AC2" s="977"/>
      <c r="AD2" s="977"/>
      <c r="AE2" s="978"/>
      <c r="AF2" s="286"/>
      <c r="AG2" s="979" t="s">
        <v>455</v>
      </c>
      <c r="AH2" s="980"/>
      <c r="AI2" s="980"/>
      <c r="AJ2" s="980"/>
      <c r="AK2" s="980"/>
      <c r="AL2" s="980"/>
      <c r="AM2" s="980"/>
      <c r="AN2" s="980"/>
      <c r="AO2" s="980"/>
      <c r="AP2" s="980"/>
      <c r="AQ2" s="980"/>
      <c r="AR2" s="980"/>
      <c r="AS2" s="981"/>
      <c r="AT2" s="286"/>
      <c r="AU2" s="979" t="s">
        <v>456</v>
      </c>
      <c r="AV2" s="980"/>
      <c r="AW2" s="980"/>
      <c r="AX2" s="980"/>
      <c r="AY2" s="980"/>
      <c r="AZ2" s="980"/>
      <c r="BA2" s="980"/>
      <c r="BB2" s="980"/>
      <c r="BC2" s="980"/>
      <c r="BD2" s="980"/>
      <c r="BE2" s="980"/>
      <c r="BF2" s="980"/>
      <c r="BG2" s="981"/>
      <c r="BH2" s="286"/>
      <c r="BI2" s="968" t="s">
        <v>213</v>
      </c>
      <c r="BJ2" s="969"/>
      <c r="BK2" s="969"/>
      <c r="BL2" s="969"/>
      <c r="BM2" s="969"/>
      <c r="BN2" s="969"/>
      <c r="BO2" s="969"/>
      <c r="BP2" s="969"/>
      <c r="BQ2" s="969"/>
      <c r="BR2" s="969"/>
      <c r="BS2" s="969"/>
      <c r="BT2" s="969"/>
      <c r="BU2" s="970"/>
      <c r="BW2" s="968" t="s">
        <v>214</v>
      </c>
      <c r="BX2" s="969"/>
      <c r="BY2" s="969"/>
      <c r="BZ2" s="969"/>
      <c r="CA2" s="969"/>
      <c r="CB2" s="969"/>
      <c r="CC2" s="969"/>
      <c r="CD2" s="969"/>
      <c r="CE2" s="969"/>
      <c r="CF2" s="969"/>
      <c r="CG2" s="969"/>
      <c r="CH2" s="969"/>
      <c r="CI2" s="970"/>
      <c r="CJ2" s="287"/>
      <c r="CK2" s="974" t="s">
        <v>215</v>
      </c>
      <c r="CL2" s="974"/>
      <c r="CM2" s="974"/>
      <c r="CN2" s="974"/>
      <c r="CO2" s="974"/>
      <c r="CP2" s="974"/>
      <c r="CQ2" s="974"/>
      <c r="CR2" s="974"/>
      <c r="CS2" s="974"/>
      <c r="CT2" s="974"/>
      <c r="CU2" s="974"/>
      <c r="CV2" s="974"/>
      <c r="CW2" s="974"/>
      <c r="CY2" s="975" t="s">
        <v>457</v>
      </c>
      <c r="CZ2" s="975"/>
      <c r="DA2" s="975"/>
      <c r="DB2" s="975"/>
      <c r="DC2" s="975"/>
      <c r="DD2" s="975"/>
      <c r="DE2" s="975"/>
      <c r="DF2" s="975"/>
      <c r="DG2" s="975"/>
      <c r="DH2" s="975"/>
      <c r="DI2" s="975"/>
      <c r="DJ2" s="975"/>
      <c r="DK2" s="975"/>
      <c r="DL2" s="288"/>
      <c r="DM2" s="975" t="s">
        <v>458</v>
      </c>
      <c r="DN2" s="975"/>
      <c r="DO2" s="975"/>
      <c r="DP2" s="975"/>
      <c r="DQ2" s="975"/>
      <c r="DR2" s="975"/>
      <c r="DS2" s="975"/>
      <c r="DT2" s="975"/>
      <c r="DU2" s="975"/>
      <c r="DV2" s="975"/>
      <c r="DW2" s="975"/>
      <c r="DX2" s="975"/>
      <c r="DY2" s="975"/>
      <c r="DZ2" s="288"/>
      <c r="EA2" s="975" t="s">
        <v>216</v>
      </c>
      <c r="EB2" s="975"/>
      <c r="EC2" s="975"/>
      <c r="ED2" s="975"/>
      <c r="EE2" s="975"/>
      <c r="EF2" s="975"/>
      <c r="EG2" s="975"/>
      <c r="EH2" s="975"/>
      <c r="EI2" s="975"/>
      <c r="EJ2" s="975"/>
      <c r="EK2" s="975"/>
      <c r="EL2" s="975"/>
      <c r="EM2" s="975"/>
      <c r="EN2" s="288"/>
      <c r="EO2" s="975" t="s">
        <v>217</v>
      </c>
      <c r="EP2" s="975"/>
      <c r="EQ2" s="975"/>
      <c r="ER2" s="975"/>
      <c r="ES2" s="975"/>
      <c r="ET2" s="975"/>
      <c r="EU2" s="975"/>
      <c r="EV2" s="975"/>
      <c r="EW2" s="975"/>
      <c r="EX2" s="975"/>
      <c r="EY2" s="975"/>
      <c r="EZ2" s="975"/>
      <c r="FA2" s="975"/>
      <c r="FB2"/>
      <c r="FC2" s="975" t="s">
        <v>218</v>
      </c>
      <c r="FD2" s="975"/>
      <c r="FE2" s="975"/>
      <c r="FF2" s="975"/>
      <c r="FG2" s="975"/>
      <c r="FH2" s="975"/>
      <c r="FI2" s="975"/>
      <c r="FJ2" s="975"/>
      <c r="FK2" s="975"/>
      <c r="FL2" s="975"/>
      <c r="FM2" s="975"/>
      <c r="FN2" s="975"/>
      <c r="FO2" s="975"/>
    </row>
    <row r="3" spans="2:171" ht="6.75" customHeight="1" x14ac:dyDescent="0.3"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9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9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9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9"/>
      <c r="BV3" s="258"/>
      <c r="CJ3" s="289"/>
      <c r="CK3" s="974"/>
      <c r="CL3" s="974"/>
      <c r="CM3" s="974"/>
      <c r="CN3" s="974"/>
      <c r="CO3" s="974"/>
      <c r="CP3" s="974"/>
      <c r="CQ3" s="974"/>
      <c r="CR3" s="974"/>
      <c r="CS3" s="974"/>
      <c r="CT3" s="974"/>
      <c r="CU3" s="974"/>
      <c r="CV3" s="974"/>
      <c r="CW3" s="974"/>
      <c r="CX3" s="258"/>
      <c r="CY3" s="975"/>
      <c r="CZ3" s="975"/>
      <c r="DA3" s="975"/>
      <c r="DB3" s="975"/>
      <c r="DC3" s="975"/>
      <c r="DD3" s="975"/>
      <c r="DE3" s="975"/>
      <c r="DF3" s="975"/>
      <c r="DG3" s="975"/>
      <c r="DH3" s="975"/>
      <c r="DI3" s="975"/>
      <c r="DJ3" s="975"/>
      <c r="DK3" s="975"/>
      <c r="DL3" s="288"/>
      <c r="DM3" s="975"/>
      <c r="DN3" s="975"/>
      <c r="DO3" s="975"/>
      <c r="DP3" s="975"/>
      <c r="DQ3" s="975"/>
      <c r="DR3" s="975"/>
      <c r="DS3" s="975"/>
      <c r="DT3" s="975"/>
      <c r="DU3" s="975"/>
      <c r="DV3" s="975"/>
      <c r="DW3" s="975"/>
      <c r="DX3" s="975"/>
      <c r="DY3" s="975"/>
      <c r="DZ3" s="288"/>
      <c r="EA3" s="975"/>
      <c r="EB3" s="975"/>
      <c r="EC3" s="975"/>
      <c r="ED3" s="975"/>
      <c r="EE3" s="975"/>
      <c r="EF3" s="975"/>
      <c r="EG3" s="975"/>
      <c r="EH3" s="975"/>
      <c r="EI3" s="975"/>
      <c r="EJ3" s="975"/>
      <c r="EK3" s="975"/>
      <c r="EL3" s="975"/>
      <c r="EM3" s="975"/>
      <c r="EN3" s="288"/>
      <c r="EO3" s="975"/>
      <c r="EP3" s="975"/>
      <c r="EQ3" s="975"/>
      <c r="ER3" s="975"/>
      <c r="ES3" s="975"/>
      <c r="ET3" s="975"/>
      <c r="EU3" s="975"/>
      <c r="EV3" s="975"/>
      <c r="EW3" s="975"/>
      <c r="EX3" s="975"/>
      <c r="EY3" s="975"/>
      <c r="EZ3" s="975"/>
      <c r="FA3" s="975"/>
      <c r="FB3"/>
      <c r="FC3" s="975"/>
      <c r="FD3" s="975"/>
      <c r="FE3" s="975"/>
      <c r="FF3" s="975"/>
      <c r="FG3" s="975"/>
      <c r="FH3" s="975"/>
      <c r="FI3" s="975"/>
      <c r="FJ3" s="975"/>
      <c r="FK3" s="975"/>
      <c r="FL3" s="975"/>
      <c r="FM3" s="975"/>
      <c r="FN3" s="975"/>
      <c r="FO3" s="975"/>
    </row>
    <row r="4" spans="2:171" ht="21" x14ac:dyDescent="0.2">
      <c r="E4" s="967" t="s">
        <v>188</v>
      </c>
      <c r="F4" s="967"/>
      <c r="G4" s="967"/>
      <c r="H4" s="967"/>
      <c r="I4" s="967"/>
      <c r="J4" s="967"/>
      <c r="K4" s="967"/>
      <c r="L4" s="967"/>
      <c r="M4" s="967"/>
      <c r="N4" s="967"/>
      <c r="O4" s="967"/>
      <c r="P4" s="967"/>
      <c r="Q4" s="967"/>
      <c r="R4" s="259"/>
      <c r="S4" s="967" t="s">
        <v>188</v>
      </c>
      <c r="T4" s="967"/>
      <c r="U4" s="967"/>
      <c r="V4" s="967"/>
      <c r="W4" s="967"/>
      <c r="X4" s="967"/>
      <c r="Y4" s="967"/>
      <c r="Z4" s="967"/>
      <c r="AA4" s="967"/>
      <c r="AB4" s="967"/>
      <c r="AC4" s="967"/>
      <c r="AD4" s="967"/>
      <c r="AE4" s="967"/>
      <c r="AF4" s="259"/>
      <c r="AG4" s="967" t="s">
        <v>188</v>
      </c>
      <c r="AH4" s="967"/>
      <c r="AI4" s="967"/>
      <c r="AJ4" s="967"/>
      <c r="AK4" s="967"/>
      <c r="AL4" s="967"/>
      <c r="AM4" s="967"/>
      <c r="AN4" s="967"/>
      <c r="AO4" s="967"/>
      <c r="AP4" s="967"/>
      <c r="AQ4" s="967"/>
      <c r="AR4" s="967"/>
      <c r="AS4" s="967"/>
      <c r="AT4" s="259"/>
      <c r="AU4" s="967" t="s">
        <v>188</v>
      </c>
      <c r="AV4" s="967"/>
      <c r="AW4" s="967"/>
      <c r="AX4" s="967"/>
      <c r="AY4" s="967"/>
      <c r="AZ4" s="967"/>
      <c r="BA4" s="967"/>
      <c r="BB4" s="967"/>
      <c r="BC4" s="967"/>
      <c r="BD4" s="967"/>
      <c r="BE4" s="967"/>
      <c r="BF4" s="967"/>
      <c r="BG4" s="967"/>
      <c r="BH4" s="259"/>
      <c r="BI4" s="967" t="s">
        <v>188</v>
      </c>
      <c r="BJ4" s="967"/>
      <c r="BK4" s="967"/>
      <c r="BL4" s="967"/>
      <c r="BM4" s="967"/>
      <c r="BN4" s="967"/>
      <c r="BO4" s="967"/>
      <c r="BP4" s="967"/>
      <c r="BQ4" s="967"/>
      <c r="BR4" s="967"/>
      <c r="BS4" s="967"/>
      <c r="BT4" s="967"/>
      <c r="BU4" s="967"/>
      <c r="BV4" s="258"/>
      <c r="BW4" s="967" t="s">
        <v>188</v>
      </c>
      <c r="BX4" s="967"/>
      <c r="BY4" s="967"/>
      <c r="BZ4" s="967"/>
      <c r="CA4" s="967"/>
      <c r="CB4" s="967"/>
      <c r="CC4" s="967"/>
      <c r="CD4" s="967"/>
      <c r="CE4" s="967"/>
      <c r="CF4" s="967"/>
      <c r="CG4" s="967"/>
      <c r="CH4" s="967"/>
      <c r="CI4" s="967"/>
      <c r="CJ4" s="289"/>
      <c r="CK4" s="290" t="s">
        <v>189</v>
      </c>
      <c r="CL4" s="290" t="s">
        <v>190</v>
      </c>
      <c r="CM4" s="290" t="s">
        <v>191</v>
      </c>
      <c r="CN4" s="290" t="s">
        <v>192</v>
      </c>
      <c r="CO4" s="290" t="s">
        <v>193</v>
      </c>
      <c r="CP4" s="290" t="s">
        <v>194</v>
      </c>
      <c r="CQ4" s="290" t="s">
        <v>195</v>
      </c>
      <c r="CR4" s="290" t="s">
        <v>196</v>
      </c>
      <c r="CS4" s="290" t="s">
        <v>197</v>
      </c>
      <c r="CT4" s="290" t="s">
        <v>198</v>
      </c>
      <c r="CU4" s="290" t="s">
        <v>199</v>
      </c>
      <c r="CV4" s="290" t="s">
        <v>200</v>
      </c>
      <c r="CW4" s="291" t="s">
        <v>203</v>
      </c>
      <c r="CX4" s="258"/>
      <c r="CY4" s="292" t="s">
        <v>189</v>
      </c>
      <c r="CZ4" s="292" t="s">
        <v>190</v>
      </c>
      <c r="DA4" s="292" t="s">
        <v>191</v>
      </c>
      <c r="DB4" s="292" t="s">
        <v>192</v>
      </c>
      <c r="DC4" s="292" t="s">
        <v>193</v>
      </c>
      <c r="DD4" s="292" t="s">
        <v>194</v>
      </c>
      <c r="DE4" s="292" t="s">
        <v>195</v>
      </c>
      <c r="DF4" s="292" t="s">
        <v>196</v>
      </c>
      <c r="DG4" s="292" t="s">
        <v>197</v>
      </c>
      <c r="DH4" s="292" t="s">
        <v>198</v>
      </c>
      <c r="DI4" s="292" t="s">
        <v>199</v>
      </c>
      <c r="DJ4" s="292" t="s">
        <v>200</v>
      </c>
      <c r="DK4" s="293" t="s">
        <v>203</v>
      </c>
      <c r="DL4"/>
      <c r="DM4" s="292" t="s">
        <v>189</v>
      </c>
      <c r="DN4" s="292" t="s">
        <v>190</v>
      </c>
      <c r="DO4" s="292" t="s">
        <v>191</v>
      </c>
      <c r="DP4" s="292" t="s">
        <v>192</v>
      </c>
      <c r="DQ4" s="292" t="s">
        <v>193</v>
      </c>
      <c r="DR4" s="292" t="s">
        <v>194</v>
      </c>
      <c r="DS4" s="292" t="s">
        <v>195</v>
      </c>
      <c r="DT4" s="292" t="s">
        <v>196</v>
      </c>
      <c r="DU4" s="292" t="s">
        <v>197</v>
      </c>
      <c r="DV4" s="292" t="s">
        <v>198</v>
      </c>
      <c r="DW4" s="292" t="s">
        <v>199</v>
      </c>
      <c r="DX4" s="292" t="s">
        <v>200</v>
      </c>
      <c r="DY4" s="293" t="s">
        <v>203</v>
      </c>
      <c r="DZ4"/>
      <c r="EA4" s="292" t="s">
        <v>189</v>
      </c>
      <c r="EB4" s="292" t="s">
        <v>190</v>
      </c>
      <c r="EC4" s="292" t="s">
        <v>191</v>
      </c>
      <c r="ED4" s="292" t="s">
        <v>192</v>
      </c>
      <c r="EE4" s="292" t="s">
        <v>193</v>
      </c>
      <c r="EF4" s="292" t="s">
        <v>194</v>
      </c>
      <c r="EG4" s="292" t="s">
        <v>195</v>
      </c>
      <c r="EH4" s="292" t="s">
        <v>196</v>
      </c>
      <c r="EI4" s="292" t="s">
        <v>197</v>
      </c>
      <c r="EJ4" s="292" t="s">
        <v>198</v>
      </c>
      <c r="EK4" s="292" t="s">
        <v>199</v>
      </c>
      <c r="EL4" s="292" t="s">
        <v>200</v>
      </c>
      <c r="EM4" s="293" t="s">
        <v>203</v>
      </c>
      <c r="EN4"/>
      <c r="EO4" s="292" t="s">
        <v>189</v>
      </c>
      <c r="EP4" s="292" t="s">
        <v>190</v>
      </c>
      <c r="EQ4" s="292" t="s">
        <v>191</v>
      </c>
      <c r="ER4" s="292" t="s">
        <v>192</v>
      </c>
      <c r="ES4" s="292" t="s">
        <v>193</v>
      </c>
      <c r="ET4" s="292" t="s">
        <v>194</v>
      </c>
      <c r="EU4" s="292" t="s">
        <v>195</v>
      </c>
      <c r="EV4" s="292" t="s">
        <v>196</v>
      </c>
      <c r="EW4" s="292" t="s">
        <v>197</v>
      </c>
      <c r="EX4" s="292" t="s">
        <v>198</v>
      </c>
      <c r="EY4" s="292" t="s">
        <v>199</v>
      </c>
      <c r="EZ4" s="292" t="s">
        <v>200</v>
      </c>
      <c r="FA4" s="293" t="s">
        <v>203</v>
      </c>
      <c r="FB4"/>
      <c r="FC4" s="292" t="s">
        <v>189</v>
      </c>
      <c r="FD4" s="292" t="s">
        <v>190</v>
      </c>
      <c r="FE4" s="292" t="s">
        <v>191</v>
      </c>
      <c r="FF4" s="292" t="s">
        <v>192</v>
      </c>
      <c r="FG4" s="292" t="s">
        <v>193</v>
      </c>
      <c r="FH4" s="292" t="s">
        <v>194</v>
      </c>
      <c r="FI4" s="292" t="s">
        <v>195</v>
      </c>
      <c r="FJ4" s="292" t="s">
        <v>196</v>
      </c>
      <c r="FK4" s="292" t="s">
        <v>197</v>
      </c>
      <c r="FL4" s="292" t="s">
        <v>198</v>
      </c>
      <c r="FM4" s="292" t="s">
        <v>199</v>
      </c>
      <c r="FN4" s="292" t="s">
        <v>200</v>
      </c>
      <c r="FO4" s="293" t="s">
        <v>203</v>
      </c>
    </row>
    <row r="5" spans="2:171" x14ac:dyDescent="0.2">
      <c r="B5" s="294" t="s">
        <v>93</v>
      </c>
      <c r="C5" s="295" t="s">
        <v>94</v>
      </c>
      <c r="E5" s="261" t="s">
        <v>189</v>
      </c>
      <c r="F5" s="261" t="s">
        <v>190</v>
      </c>
      <c r="G5" s="261" t="s">
        <v>191</v>
      </c>
      <c r="H5" s="261" t="s">
        <v>192</v>
      </c>
      <c r="I5" s="261" t="s">
        <v>193</v>
      </c>
      <c r="J5" s="261" t="s">
        <v>194</v>
      </c>
      <c r="K5" s="261" t="s">
        <v>195</v>
      </c>
      <c r="L5" s="261" t="s">
        <v>196</v>
      </c>
      <c r="M5" s="261" t="s">
        <v>197</v>
      </c>
      <c r="N5" s="261" t="s">
        <v>198</v>
      </c>
      <c r="O5" s="261" t="s">
        <v>199</v>
      </c>
      <c r="P5" s="261" t="s">
        <v>200</v>
      </c>
      <c r="Q5" s="262" t="s">
        <v>201</v>
      </c>
      <c r="R5" s="258"/>
      <c r="S5" s="261" t="s">
        <v>189</v>
      </c>
      <c r="T5" s="261" t="s">
        <v>190</v>
      </c>
      <c r="U5" s="261" t="s">
        <v>191</v>
      </c>
      <c r="V5" s="261" t="s">
        <v>192</v>
      </c>
      <c r="W5" s="261" t="s">
        <v>193</v>
      </c>
      <c r="X5" s="261" t="s">
        <v>194</v>
      </c>
      <c r="Y5" s="261" t="s">
        <v>195</v>
      </c>
      <c r="Z5" s="261" t="s">
        <v>196</v>
      </c>
      <c r="AA5" s="261" t="s">
        <v>197</v>
      </c>
      <c r="AB5" s="261" t="s">
        <v>198</v>
      </c>
      <c r="AC5" s="261" t="s">
        <v>199</v>
      </c>
      <c r="AD5" s="261" t="s">
        <v>200</v>
      </c>
      <c r="AE5" s="262" t="s">
        <v>201</v>
      </c>
      <c r="AF5" s="258"/>
      <c r="AG5" s="261" t="s">
        <v>189</v>
      </c>
      <c r="AH5" s="261" t="s">
        <v>190</v>
      </c>
      <c r="AI5" s="261" t="s">
        <v>191</v>
      </c>
      <c r="AJ5" s="261" t="s">
        <v>192</v>
      </c>
      <c r="AK5" s="261" t="s">
        <v>193</v>
      </c>
      <c r="AL5" s="261" t="s">
        <v>194</v>
      </c>
      <c r="AM5" s="261" t="s">
        <v>195</v>
      </c>
      <c r="AN5" s="261" t="s">
        <v>196</v>
      </c>
      <c r="AO5" s="261" t="s">
        <v>197</v>
      </c>
      <c r="AP5" s="261" t="s">
        <v>198</v>
      </c>
      <c r="AQ5" s="261" t="s">
        <v>199</v>
      </c>
      <c r="AR5" s="261" t="s">
        <v>200</v>
      </c>
      <c r="AS5" s="262" t="s">
        <v>201</v>
      </c>
      <c r="AT5" s="258"/>
      <c r="AU5" s="261" t="s">
        <v>189</v>
      </c>
      <c r="AV5" s="261" t="s">
        <v>190</v>
      </c>
      <c r="AW5" s="261" t="s">
        <v>191</v>
      </c>
      <c r="AX5" s="261" t="s">
        <v>192</v>
      </c>
      <c r="AY5" s="261" t="s">
        <v>193</v>
      </c>
      <c r="AZ5" s="261" t="s">
        <v>194</v>
      </c>
      <c r="BA5" s="261" t="s">
        <v>195</v>
      </c>
      <c r="BB5" s="261" t="s">
        <v>196</v>
      </c>
      <c r="BC5" s="261" t="s">
        <v>197</v>
      </c>
      <c r="BD5" s="261" t="s">
        <v>198</v>
      </c>
      <c r="BE5" s="261" t="s">
        <v>199</v>
      </c>
      <c r="BF5" s="261" t="s">
        <v>200</v>
      </c>
      <c r="BG5" s="262" t="s">
        <v>201</v>
      </c>
      <c r="BH5" s="258"/>
      <c r="BI5" s="261" t="s">
        <v>189</v>
      </c>
      <c r="BJ5" s="261" t="s">
        <v>190</v>
      </c>
      <c r="BK5" s="261" t="s">
        <v>191</v>
      </c>
      <c r="BL5" s="261" t="s">
        <v>192</v>
      </c>
      <c r="BM5" s="261" t="s">
        <v>193</v>
      </c>
      <c r="BN5" s="261" t="s">
        <v>194</v>
      </c>
      <c r="BO5" s="261" t="s">
        <v>195</v>
      </c>
      <c r="BP5" s="261" t="s">
        <v>196</v>
      </c>
      <c r="BQ5" s="261" t="s">
        <v>197</v>
      </c>
      <c r="BR5" s="261" t="s">
        <v>198</v>
      </c>
      <c r="BS5" s="261" t="s">
        <v>199</v>
      </c>
      <c r="BT5" s="261" t="s">
        <v>200</v>
      </c>
      <c r="BU5" s="262" t="s">
        <v>201</v>
      </c>
      <c r="BV5" s="258"/>
      <c r="BW5" s="261" t="s">
        <v>189</v>
      </c>
      <c r="BX5" s="261" t="s">
        <v>190</v>
      </c>
      <c r="BY5" s="261" t="s">
        <v>191</v>
      </c>
      <c r="BZ5" s="261" t="s">
        <v>192</v>
      </c>
      <c r="CA5" s="261" t="s">
        <v>193</v>
      </c>
      <c r="CB5" s="261" t="s">
        <v>194</v>
      </c>
      <c r="CC5" s="261" t="s">
        <v>195</v>
      </c>
      <c r="CD5" s="261" t="s">
        <v>196</v>
      </c>
      <c r="CE5" s="261" t="s">
        <v>197</v>
      </c>
      <c r="CF5" s="261" t="s">
        <v>198</v>
      </c>
      <c r="CG5" s="261" t="s">
        <v>199</v>
      </c>
      <c r="CH5" s="261" t="s">
        <v>200</v>
      </c>
      <c r="CI5" s="262" t="s">
        <v>201</v>
      </c>
      <c r="CJ5" s="289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7"/>
      <c r="CX5" s="258"/>
      <c r="CY5" s="274"/>
      <c r="CZ5" s="258"/>
      <c r="DA5" s="258"/>
      <c r="DB5" s="258"/>
      <c r="DK5" s="298"/>
      <c r="DM5" s="299"/>
      <c r="DY5" s="298"/>
      <c r="EA5" s="299"/>
      <c r="EM5" s="298"/>
      <c r="EO5" s="299"/>
      <c r="FA5" s="298"/>
      <c r="FC5" s="299"/>
      <c r="FO5" s="298"/>
    </row>
    <row r="6" spans="2:171" x14ac:dyDescent="0.2">
      <c r="B6" s="150">
        <v>107307</v>
      </c>
      <c r="C6" s="151" t="s">
        <v>95</v>
      </c>
      <c r="D6" s="250"/>
      <c r="E6" s="625">
        <f>SUM([2]A05!$H$114:$Y$114)</f>
        <v>64</v>
      </c>
      <c r="F6" s="625">
        <f>SUM([3]A05!$H$114:$Y$114)</f>
        <v>20</v>
      </c>
      <c r="G6" s="625">
        <f>SUM([4]A05!$H$114:$Y$114)</f>
        <v>48</v>
      </c>
      <c r="H6" s="625">
        <f>SUM([5]A05!$H$114:$Y$114)</f>
        <v>36</v>
      </c>
      <c r="I6" s="625">
        <f>SUM([6]A05!$H$114:$Y$114)</f>
        <v>41</v>
      </c>
      <c r="J6" s="276"/>
      <c r="K6" s="276"/>
      <c r="L6" s="276"/>
      <c r="M6" s="625"/>
      <c r="N6" s="625"/>
      <c r="O6" s="625"/>
      <c r="P6" s="625"/>
      <c r="Q6" s="624">
        <f>SUM(E6:P6)</f>
        <v>209</v>
      </c>
      <c r="R6" s="258"/>
      <c r="S6" s="625">
        <f>SUM([2]A05!$H$127:$Y$127)</f>
        <v>6</v>
      </c>
      <c r="T6" s="625">
        <f>SUM([3]A05!$H$127:$Y$127)</f>
        <v>4</v>
      </c>
      <c r="U6" s="625">
        <f>SUM([4]A05!$H$127:$Y$127)</f>
        <v>0</v>
      </c>
      <c r="V6" s="625">
        <f>SUM([5]A05!$H$127:$Y$127)</f>
        <v>12</v>
      </c>
      <c r="W6" s="625">
        <f>SUM([6]A05!$H$127:$Y$127)</f>
        <v>0</v>
      </c>
      <c r="X6" s="276"/>
      <c r="Y6" s="276"/>
      <c r="Z6" s="276"/>
      <c r="AA6" s="625"/>
      <c r="AB6" s="625"/>
      <c r="AC6" s="625"/>
      <c r="AD6" s="625"/>
      <c r="AE6" s="624">
        <f>SUM(S6:AD6)</f>
        <v>22</v>
      </c>
      <c r="AF6" s="258"/>
      <c r="AG6" s="625">
        <f>[2]A05!$C$186</f>
        <v>53</v>
      </c>
      <c r="AH6" s="625">
        <f>[3]A05!$C$186</f>
        <v>66</v>
      </c>
      <c r="AI6" s="625">
        <f>[4]A05!$C$186</f>
        <v>73</v>
      </c>
      <c r="AJ6" s="625">
        <f>[5]A05!$C$186</f>
        <v>87</v>
      </c>
      <c r="AK6" s="625">
        <f>[6]A05!$C$186</f>
        <v>88</v>
      </c>
      <c r="AL6" s="276"/>
      <c r="AM6" s="276"/>
      <c r="AN6" s="276"/>
      <c r="AO6" s="625"/>
      <c r="AP6" s="625"/>
      <c r="AQ6" s="625"/>
      <c r="AR6" s="625"/>
      <c r="AS6" s="624">
        <f>SUM(AG6:AR6)</f>
        <v>367</v>
      </c>
      <c r="AT6" s="258"/>
      <c r="AU6" s="615">
        <f>SUM([2]A05!$C$234,[2]A05!$AN$241,[2]A05!$AO$241,[2]A05!$AP$241)</f>
        <v>46</v>
      </c>
      <c r="AV6" s="615">
        <f>SUM([3]A05!$C$234,[3]A05!$AN$241,[3]A05!$AO$241,[3]A05!$AP$241)</f>
        <v>23</v>
      </c>
      <c r="AW6" s="615">
        <f>SUM([4]A05!$C$234,[4]A05!$AN$241,[4]A05!$AO$241,[4]A05!$AP$241)</f>
        <v>54</v>
      </c>
      <c r="AX6" s="615">
        <f>SUM([5]A05!$C$234,[5]A05!$AN$241,[5]A05!$AO$241,[5]A05!$AP$241)</f>
        <v>21</v>
      </c>
      <c r="AY6" s="615">
        <f>SUM([6]A05!$C$234,[6]A05!$AN$241,[6]A05!$AO$241,[6]A05!$AP$241)</f>
        <v>40</v>
      </c>
      <c r="AZ6" s="258"/>
      <c r="BA6" s="258"/>
      <c r="BB6" s="258"/>
      <c r="BC6" s="436"/>
      <c r="BD6" s="436"/>
      <c r="BE6" s="436"/>
      <c r="BF6" s="436"/>
      <c r="BG6" s="264">
        <f>SUM(AU6:BF6)</f>
        <v>184</v>
      </c>
      <c r="BH6" s="258"/>
      <c r="BI6" s="615">
        <f>SUM([2]A09!$G$12:$AB$12)</f>
        <v>173</v>
      </c>
      <c r="BJ6" s="615">
        <f>SUM([3]A09!$G$12:$AB$12)</f>
        <v>173</v>
      </c>
      <c r="BK6" s="615">
        <f>SUM([4]A09!$G$12:$AB$12)</f>
        <v>168</v>
      </c>
      <c r="BL6" s="615">
        <f>SUM([5]A09!$G$12:$AB$12)</f>
        <v>178</v>
      </c>
      <c r="BM6" s="615">
        <f>SUM([6]A09!$G$12:$AB$12)</f>
        <v>138</v>
      </c>
      <c r="BN6" s="258"/>
      <c r="BO6" s="258"/>
      <c r="BP6" s="258"/>
      <c r="BQ6" s="436"/>
      <c r="BR6" s="436"/>
      <c r="BS6" s="436"/>
      <c r="BT6" s="436"/>
      <c r="BU6" s="264">
        <f>SUM(BI6:BT6)</f>
        <v>830</v>
      </c>
      <c r="BV6" s="258"/>
      <c r="BW6" s="615">
        <f>SUM([2]A09!$G$48:$L$48)</f>
        <v>21</v>
      </c>
      <c r="BX6" s="615">
        <f>SUM([3]A09!$G$48:$L$48)</f>
        <v>21</v>
      </c>
      <c r="BY6" s="615">
        <f>SUM([4]A09!$G$48:$L$48)</f>
        <v>27</v>
      </c>
      <c r="BZ6" s="615">
        <f>SUM([5]A09!$G$48:$L$48)</f>
        <v>45</v>
      </c>
      <c r="CA6" s="615">
        <f>SUM([6]A09!$G$48:$L$48)</f>
        <v>16</v>
      </c>
      <c r="CB6" s="258"/>
      <c r="CC6" s="258"/>
      <c r="CD6" s="258"/>
      <c r="CE6" s="436"/>
      <c r="CF6" s="436"/>
      <c r="CG6" s="436"/>
      <c r="CH6" s="436"/>
      <c r="CI6" s="264">
        <f>SUM(BW6:CH6)</f>
        <v>130</v>
      </c>
      <c r="CJ6" s="289"/>
      <c r="CK6" s="438">
        <f>+CY6+DM6+EA6+EO6+FC6</f>
        <v>1032</v>
      </c>
      <c r="CL6" s="438">
        <f t="shared" ref="CK6:CR12" si="0">+CZ6+DN6+EB6+EP6+FD6</f>
        <v>893</v>
      </c>
      <c r="CM6" s="438">
        <f t="shared" si="0"/>
        <v>1040</v>
      </c>
      <c r="CN6" s="438">
        <f t="shared" si="0"/>
        <v>972</v>
      </c>
      <c r="CO6" s="438">
        <f>+DC6+DQ6+EE6+ES6+FG6</f>
        <v>1028</v>
      </c>
      <c r="CP6" s="438">
        <f t="shared" si="0"/>
        <v>0</v>
      </c>
      <c r="CQ6" s="438">
        <f t="shared" si="0"/>
        <v>0</v>
      </c>
      <c r="CR6" s="438">
        <f t="shared" si="0"/>
        <v>0</v>
      </c>
      <c r="CS6" s="438">
        <f>+DG6+DU6+EI6+EW6+FK6</f>
        <v>0</v>
      </c>
      <c r="CT6" s="438">
        <f t="shared" ref="CT6:CV12" si="1">+DH6+DV6+EJ6+EX6+FL6</f>
        <v>0</v>
      </c>
      <c r="CU6" s="438">
        <f t="shared" si="1"/>
        <v>0</v>
      </c>
      <c r="CV6" s="438">
        <f t="shared" si="1"/>
        <v>0</v>
      </c>
      <c r="CW6" s="264">
        <f>SUM(CK6:CV6)</f>
        <v>4965</v>
      </c>
      <c r="CX6" s="258"/>
      <c r="CY6" s="627">
        <f>SUM([2]A06!$C$22:$C$23,[2]A06!$E$32)</f>
        <v>947</v>
      </c>
      <c r="CZ6" s="627">
        <f>SUM([3]A06!$C$22:$C$23,[3]A06!$E$32)</f>
        <v>785</v>
      </c>
      <c r="DA6" s="627">
        <f>SUM([4]A06!$C$22:$C$23,[4]A06!$E$32)</f>
        <v>957</v>
      </c>
      <c r="DB6" s="627">
        <f>SUM([5]A06!$C$22:$C$23,[5]A06!$E$32)</f>
        <v>859</v>
      </c>
      <c r="DC6" s="627">
        <f>SUM([6]A06!$C$22:$C$23,[6]A06!$E$32)</f>
        <v>933</v>
      </c>
      <c r="DG6" s="439"/>
      <c r="DH6" s="439"/>
      <c r="DI6" s="439"/>
      <c r="DJ6" s="439"/>
      <c r="DK6" s="264">
        <f>SUM(CY6:DJ6)</f>
        <v>4481</v>
      </c>
      <c r="DM6" s="628">
        <f>SUM([2]A19a!$C$97:$C$99)</f>
        <v>19</v>
      </c>
      <c r="DN6" s="628">
        <f>SUM([3]A19a!$C$97:$C$99)</f>
        <v>8</v>
      </c>
      <c r="DO6" s="628">
        <f>SUM([4]A19a!$C$97:$C$99)</f>
        <v>8</v>
      </c>
      <c r="DP6" s="628">
        <f>SUM([5]A19a!$C$97:$C$99)</f>
        <v>8</v>
      </c>
      <c r="DQ6" s="628">
        <f>SUM([6]A19a!$C$97:$C$99)</f>
        <v>14</v>
      </c>
      <c r="DU6" s="439"/>
      <c r="DV6" s="439"/>
      <c r="DW6" s="439"/>
      <c r="DX6" s="439"/>
      <c r="DY6" s="264">
        <f>SUM(DM6:DX6)</f>
        <v>57</v>
      </c>
      <c r="EA6" s="628">
        <f>SUM([2]A26!$C$30:$C$31,[2]A26!$C$38:$E$38)</f>
        <v>38</v>
      </c>
      <c r="EB6" s="628">
        <f>SUM([3]A26!$C$30:$C$31,[3]A26!$C$38:$E$38)</f>
        <v>63</v>
      </c>
      <c r="EC6" s="628">
        <f>SUM([4]A26!$C$30:$C$31,[4]A26!$C$38:$E$38)</f>
        <v>34</v>
      </c>
      <c r="ED6" s="628">
        <f>SUM([5]A26!$C$30:$C$31,[5]A26!$C$38:$E$38)</f>
        <v>35</v>
      </c>
      <c r="EE6" s="628">
        <f>SUM([6]A26!$C$30:$C$31,[6]A26!$C$38:$E$38)</f>
        <v>29</v>
      </c>
      <c r="EI6" s="439"/>
      <c r="EJ6" s="439"/>
      <c r="EK6" s="439"/>
      <c r="EL6" s="439"/>
      <c r="EM6" s="264">
        <f>SUM(EA6:EL6)</f>
        <v>199</v>
      </c>
      <c r="EO6" s="628">
        <f>SUM([2]A32!$B$127:$B$129,[2]A32!$C$144,[2]A32!$C$155)</f>
        <v>0</v>
      </c>
      <c r="EP6" s="628">
        <f>SUM([3]A32!$B$127:$B$129,[3]A32!$C$144,[3]A32!$C$155)</f>
        <v>0</v>
      </c>
      <c r="EQ6" s="628">
        <f>SUM([4]A32!$B$127:$B$129,[4]A32!$C$144,[4]A32!$C$155)</f>
        <v>0</v>
      </c>
      <c r="ER6" s="628">
        <f>SUM([5]A32!$B$127:$B$129,[5]A32!$C$144,[5]A32!$C$155)</f>
        <v>0</v>
      </c>
      <c r="ES6" s="628">
        <f>SUM([6]A32!$B$127:$B$129,[6]A32!$C$144,[6]A32!$C$155)</f>
        <v>0</v>
      </c>
      <c r="EW6" s="439"/>
      <c r="EX6" s="439"/>
      <c r="EY6" s="439"/>
      <c r="EZ6" s="439"/>
      <c r="FA6" s="264">
        <f>SUM(EO6:EZ6)</f>
        <v>0</v>
      </c>
      <c r="FC6" s="628">
        <f>SUM([2]A04!$B$24)</f>
        <v>28</v>
      </c>
      <c r="FD6" s="628">
        <f>SUM([3]A04!$B$24)</f>
        <v>37</v>
      </c>
      <c r="FE6" s="628">
        <f>SUM([4]A04!$B$24)</f>
        <v>41</v>
      </c>
      <c r="FF6" s="628">
        <f>SUM([5]A04!$B$24)</f>
        <v>70</v>
      </c>
      <c r="FG6" s="628">
        <f>SUM([6]A04!$B$24)</f>
        <v>52</v>
      </c>
      <c r="FK6" s="439"/>
      <c r="FL6" s="439"/>
      <c r="FM6" s="439"/>
      <c r="FN6" s="439"/>
      <c r="FO6" s="264">
        <f>SUM(FC6:FN6)</f>
        <v>228</v>
      </c>
    </row>
    <row r="7" spans="2:171" x14ac:dyDescent="0.2">
      <c r="B7" s="150">
        <v>107308</v>
      </c>
      <c r="C7" s="151" t="s">
        <v>96</v>
      </c>
      <c r="D7" s="250"/>
      <c r="E7" s="625">
        <f>SUM([8]A05!$H$114:$Y$114)</f>
        <v>32</v>
      </c>
      <c r="F7" s="625">
        <f>SUM([9]A05!$H$114:$Y$114)</f>
        <v>11</v>
      </c>
      <c r="G7" s="625">
        <f>SUM([10]A05!$H$114:$Y$114)</f>
        <v>20</v>
      </c>
      <c r="H7" s="625">
        <f>SUM([11]A05!$H$114:$Y$114)</f>
        <v>40</v>
      </c>
      <c r="I7" s="625">
        <f>SUM([12]A05!$H$114:$Y$114)</f>
        <v>27</v>
      </c>
      <c r="J7" s="276"/>
      <c r="K7" s="276"/>
      <c r="L7" s="276"/>
      <c r="M7" s="625"/>
      <c r="N7" s="625"/>
      <c r="O7" s="625"/>
      <c r="P7" s="625"/>
      <c r="Q7" s="624">
        <f t="shared" ref="Q7:Q12" si="2">SUM(E7:P7)</f>
        <v>130</v>
      </c>
      <c r="R7" s="258"/>
      <c r="S7" s="625">
        <f>SUM([8]A05!$H$127:$Y$127)</f>
        <v>4</v>
      </c>
      <c r="T7" s="625">
        <f>SUM([9]A05!$H$127:$Y$127)</f>
        <v>0</v>
      </c>
      <c r="U7" s="625">
        <f>SUM([10]A05!$H$127:$Y$127)</f>
        <v>1</v>
      </c>
      <c r="V7" s="625">
        <f>SUM([11]A05!$H$127:$Y$127)</f>
        <v>0</v>
      </c>
      <c r="W7" s="625">
        <f>SUM([12]A05!$H$127:$Y$127)</f>
        <v>2</v>
      </c>
      <c r="X7" s="276"/>
      <c r="Y7" s="276"/>
      <c r="Z7" s="276"/>
      <c r="AA7" s="625"/>
      <c r="AB7" s="625"/>
      <c r="AC7" s="625"/>
      <c r="AD7" s="625"/>
      <c r="AE7" s="624">
        <f t="shared" ref="AE7:AE12" si="3">SUM(S7:AD7)</f>
        <v>7</v>
      </c>
      <c r="AF7" s="258"/>
      <c r="AG7" s="625">
        <f>[8]A05!$C$186</f>
        <v>66</v>
      </c>
      <c r="AH7" s="625">
        <f>[9]A05!$C$186</f>
        <v>47</v>
      </c>
      <c r="AI7" s="625">
        <f>[10]A05!$C$186</f>
        <v>83</v>
      </c>
      <c r="AJ7" s="625">
        <f>[11]A05!$C$186</f>
        <v>58</v>
      </c>
      <c r="AK7" s="625">
        <f>[12]A05!$C$186</f>
        <v>93</v>
      </c>
      <c r="AL7" s="276"/>
      <c r="AM7" s="276"/>
      <c r="AN7" s="276"/>
      <c r="AO7" s="625"/>
      <c r="AP7" s="625"/>
      <c r="AQ7" s="625"/>
      <c r="AR7" s="625"/>
      <c r="AS7" s="624">
        <f t="shared" ref="AS7:AS12" si="4">SUM(AG7:AR7)</f>
        <v>347</v>
      </c>
      <c r="AT7" s="258"/>
      <c r="AU7" s="615">
        <f>SUM([8]A05!$C$234,[8]A05!$AN$241,[8]A05!$AO$241,[8]A05!$AP$241)</f>
        <v>0</v>
      </c>
      <c r="AV7" s="615">
        <f>SUM([9]A05!$C$234,[9]A05!$AN$241,[9]A05!$AO$241,[9]A05!$AP$241)</f>
        <v>30</v>
      </c>
      <c r="AW7" s="615">
        <f>SUM([10]A05!$C$234,[10]A05!$AN$241,[10]A05!$AO$241,[10]A05!$AP$241)</f>
        <v>69</v>
      </c>
      <c r="AX7" s="615">
        <f>SUM([11]A05!$C$234,[11]A05!$AN$241,[11]A05!$AO$241,[11]A05!$AP$241)</f>
        <v>76</v>
      </c>
      <c r="AY7" s="615">
        <f>SUM([12]A05!$C$234,[12]A05!$AN$241,[12]A05!$AO$241,[12]A05!$AP$241)</f>
        <v>121</v>
      </c>
      <c r="AZ7" s="258"/>
      <c r="BA7" s="258"/>
      <c r="BB7" s="258"/>
      <c r="BC7" s="436"/>
      <c r="BD7" s="436"/>
      <c r="BE7" s="436"/>
      <c r="BF7" s="436"/>
      <c r="BG7" s="264">
        <f t="shared" ref="BG7:BG12" si="5">SUM(AU7:BF7)</f>
        <v>296</v>
      </c>
      <c r="BH7" s="258"/>
      <c r="BI7" s="615">
        <f>SUM([8]A09!$G$12:$AB$12)</f>
        <v>132</v>
      </c>
      <c r="BJ7" s="615">
        <f>SUM([9]A09!$G$12:$AB$12)</f>
        <v>79</v>
      </c>
      <c r="BK7" s="615">
        <f>SUM([10]A09!$G$12:$AB$12)</f>
        <v>124</v>
      </c>
      <c r="BL7" s="615">
        <f>SUM([11]A09!$G$12:$AB$12)</f>
        <v>129</v>
      </c>
      <c r="BM7" s="615">
        <f>SUM([12]A09!$G$12:$AB$12)</f>
        <v>131</v>
      </c>
      <c r="BN7" s="258"/>
      <c r="BO7" s="258"/>
      <c r="BP7" s="258"/>
      <c r="BQ7" s="436"/>
      <c r="BR7" s="436"/>
      <c r="BS7" s="436"/>
      <c r="BT7" s="436"/>
      <c r="BU7" s="264">
        <f t="shared" ref="BU7:BU12" si="6">SUM(BI7:BT7)</f>
        <v>595</v>
      </c>
      <c r="BV7" s="258"/>
      <c r="BW7" s="615">
        <f>SUM([8]A09!$G$48:$L$48)</f>
        <v>25</v>
      </c>
      <c r="BX7" s="615">
        <f>SUM([9]A09!$G$48:$L$48)</f>
        <v>14</v>
      </c>
      <c r="BY7" s="615">
        <f>SUM([10]A09!$G$48:$L$48)</f>
        <v>23</v>
      </c>
      <c r="BZ7" s="615">
        <f>SUM([11]A09!$G$48:$L$48)</f>
        <v>18</v>
      </c>
      <c r="CA7" s="615">
        <f>SUM([12]A09!$G$48:$L$48)</f>
        <v>14</v>
      </c>
      <c r="CB7" s="258"/>
      <c r="CC7" s="258"/>
      <c r="CD7" s="258"/>
      <c r="CE7" s="436"/>
      <c r="CF7" s="436"/>
      <c r="CG7" s="436"/>
      <c r="CH7" s="436"/>
      <c r="CI7" s="264">
        <f t="shared" ref="CI7:CI12" si="7">SUM(BW7:CH7)</f>
        <v>94</v>
      </c>
      <c r="CJ7" s="289"/>
      <c r="CK7" s="438">
        <f>+CY7+DM7+EA7+EO7+FC7</f>
        <v>623</v>
      </c>
      <c r="CL7" s="438">
        <f t="shared" si="0"/>
        <v>534</v>
      </c>
      <c r="CM7" s="438">
        <f t="shared" si="0"/>
        <v>805</v>
      </c>
      <c r="CN7" s="438">
        <f t="shared" si="0"/>
        <v>742</v>
      </c>
      <c r="CO7" s="438">
        <f t="shared" si="0"/>
        <v>904</v>
      </c>
      <c r="CP7" s="438">
        <f t="shared" si="0"/>
        <v>0</v>
      </c>
      <c r="CQ7" s="438">
        <f t="shared" si="0"/>
        <v>0</v>
      </c>
      <c r="CR7" s="438">
        <f t="shared" si="0"/>
        <v>0</v>
      </c>
      <c r="CS7" s="438">
        <f t="shared" ref="CS7:CS12" si="8">+DG7+DU7+EI7+EW7+FK7</f>
        <v>0</v>
      </c>
      <c r="CT7" s="438">
        <f t="shared" ref="CT7:CT12" si="9">+DH7+DV7+EJ7+EX7+FL7</f>
        <v>0</v>
      </c>
      <c r="CU7" s="438">
        <f t="shared" ref="CU7:CU12" si="10">+DI7+DW7+EK7+EY7+FM7</f>
        <v>0</v>
      </c>
      <c r="CV7" s="438">
        <f t="shared" si="1"/>
        <v>0</v>
      </c>
      <c r="CW7" s="264">
        <f t="shared" ref="CW7:CW12" si="11">SUM(CK7:CV7)</f>
        <v>3608</v>
      </c>
      <c r="CX7" s="258"/>
      <c r="CY7" s="627">
        <f>SUM([8]A06!$C$22:$C$23,[8]A06!$E$32)</f>
        <v>521</v>
      </c>
      <c r="CZ7" s="627">
        <f>SUM([9]A06!$C$22:$C$23,[9]A06!$E$32)</f>
        <v>447</v>
      </c>
      <c r="DA7" s="627">
        <f>SUM([10]A06!$C$22:$C$23,[10]A06!$E$32)</f>
        <v>699</v>
      </c>
      <c r="DB7" s="627">
        <f>SUM([11]A06!$C$22:$C$23,[11]A06!$E$32)</f>
        <v>655</v>
      </c>
      <c r="DC7" s="627">
        <f>SUM([12]A06!$C$22:$C$23,[12]A06!$E$32)</f>
        <v>777</v>
      </c>
      <c r="DG7" s="439"/>
      <c r="DH7" s="439"/>
      <c r="DI7" s="439"/>
      <c r="DJ7" s="439"/>
      <c r="DK7" s="264">
        <f t="shared" ref="DK7:DK12" si="12">SUM(CY7:DJ7)</f>
        <v>3099</v>
      </c>
      <c r="DM7" s="628">
        <f>SUM([8]A19a!$C$97:$C$99)</f>
        <v>0</v>
      </c>
      <c r="DN7" s="628">
        <f>SUM([9]A19a!$C$97:$C$99)</f>
        <v>0</v>
      </c>
      <c r="DO7" s="628">
        <f>SUM([10]A19a!$C$97:$C$99)</f>
        <v>0</v>
      </c>
      <c r="DP7" s="628">
        <f>SUM([11]A19a!$C$97:$C$99)</f>
        <v>0</v>
      </c>
      <c r="DQ7" s="628">
        <f>SUM([12]A19a!$C$97:$C$99)</f>
        <v>0</v>
      </c>
      <c r="DU7" s="439"/>
      <c r="DV7" s="439"/>
      <c r="DW7" s="439"/>
      <c r="DX7" s="439"/>
      <c r="DY7" s="264">
        <f t="shared" ref="DY7:DY12" si="13">SUM(DM7:DX7)</f>
        <v>0</v>
      </c>
      <c r="EA7" s="628">
        <f>SUM([8]A26!$C$30:$C$31,[8]A26!$C$38:$E$38)</f>
        <v>7</v>
      </c>
      <c r="EB7" s="628">
        <f>SUM([9]A26!$C$30:$C$31,[9]A26!$C$38:$E$38)</f>
        <v>1</v>
      </c>
      <c r="EC7" s="628">
        <f>SUM([10]A26!$C$30:$C$31,[10]A26!$C$38:$E$38)</f>
        <v>4</v>
      </c>
      <c r="ED7" s="628">
        <f>SUM([11]A26!$C$30:$C$31,[11]A26!$C$38:$E$38)</f>
        <v>0</v>
      </c>
      <c r="EE7" s="628">
        <f>SUM([12]A26!$C$30:$C$31,[12]A26!$C$38:$E$38)</f>
        <v>4</v>
      </c>
      <c r="EI7" s="439"/>
      <c r="EJ7" s="439"/>
      <c r="EK7" s="439"/>
      <c r="EL7" s="439"/>
      <c r="EM7" s="264">
        <f t="shared" ref="EM7:EM12" si="14">SUM(EA7:EL7)</f>
        <v>16</v>
      </c>
      <c r="EO7" s="628">
        <f>SUM([8]A32!$B$127:$B$129,[8]A32!$C$144,[8]A32!$C$155)</f>
        <v>0</v>
      </c>
      <c r="EP7" s="628">
        <f>SUM([9]A32!$B$127:$B$129,[9]A32!$C$144,[9]A32!$C$155)</f>
        <v>0</v>
      </c>
      <c r="EQ7" s="628">
        <f>SUM([10]A32!$B$127:$B$129,[10]A32!$C$144,[10]A32!$C$155)</f>
        <v>1</v>
      </c>
      <c r="ER7" s="628">
        <f>SUM([11]A32!$B$127:$B$129,[11]A32!$C$144,[11]A32!$C$155)</f>
        <v>0</v>
      </c>
      <c r="ES7" s="628">
        <f>SUM([12]A32!$B$127:$B$129,[12]A32!$C$144,[12]A32!$C$155)</f>
        <v>45</v>
      </c>
      <c r="EW7" s="439"/>
      <c r="EX7" s="439"/>
      <c r="EY7" s="439"/>
      <c r="EZ7" s="439"/>
      <c r="FA7" s="264">
        <f t="shared" ref="FA7:FA12" si="15">SUM(EO7:EZ7)</f>
        <v>46</v>
      </c>
      <c r="FC7" s="628">
        <f>SUM([8]A04!$B$24)</f>
        <v>95</v>
      </c>
      <c r="FD7" s="628">
        <f>SUM([9]A04!$B$24)</f>
        <v>86</v>
      </c>
      <c r="FE7" s="628">
        <f>SUM([10]A04!$B$24)</f>
        <v>101</v>
      </c>
      <c r="FF7" s="628">
        <f>SUM([11]A04!$B$24)</f>
        <v>87</v>
      </c>
      <c r="FG7" s="628">
        <f>SUM([12]A04!$B$24)</f>
        <v>78</v>
      </c>
      <c r="FK7" s="439"/>
      <c r="FL7" s="439"/>
      <c r="FM7" s="439"/>
      <c r="FN7" s="439"/>
      <c r="FO7" s="264">
        <f t="shared" ref="FO7:FO12" si="16">SUM(FC7:FN7)</f>
        <v>447</v>
      </c>
    </row>
    <row r="8" spans="2:171" x14ac:dyDescent="0.2">
      <c r="B8" s="150">
        <v>107353</v>
      </c>
      <c r="C8" s="151" t="s">
        <v>97</v>
      </c>
      <c r="D8" s="250"/>
      <c r="E8" s="625">
        <f>SUM([14]A05!$H$114:$Y$114)</f>
        <v>14</v>
      </c>
      <c r="F8" s="625">
        <f>SUM([15]A05!$H$114:$Y$114)</f>
        <v>11</v>
      </c>
      <c r="G8" s="625">
        <f>SUM([16]A05!$H$114:$Y$114)</f>
        <v>2</v>
      </c>
      <c r="H8" s="625">
        <f>SUM([17]A05!$H$114:$Y$114)</f>
        <v>9</v>
      </c>
      <c r="I8" s="625">
        <f>SUM([18]A05!$H$114:$Y$114)</f>
        <v>8</v>
      </c>
      <c r="J8" s="276"/>
      <c r="K8" s="276"/>
      <c r="L8" s="276"/>
      <c r="M8" s="625"/>
      <c r="N8" s="625"/>
      <c r="O8" s="625"/>
      <c r="P8" s="625"/>
      <c r="Q8" s="624">
        <f t="shared" si="2"/>
        <v>44</v>
      </c>
      <c r="R8" s="258"/>
      <c r="S8" s="625">
        <f>SUM([14]A05!$H$127:$Y$127)</f>
        <v>6</v>
      </c>
      <c r="T8" s="625">
        <f>SUM([15]A05!$H$127:$Y$127)</f>
        <v>0</v>
      </c>
      <c r="U8" s="625">
        <f>SUM([16]A05!$H$127:$Y$127)</f>
        <v>0</v>
      </c>
      <c r="V8" s="625">
        <f>SUM([17]A05!$H$127:$Y$127)</f>
        <v>0</v>
      </c>
      <c r="W8" s="625">
        <f>SUM([18]A05!$H$127:$Y$127)</f>
        <v>4</v>
      </c>
      <c r="X8" s="276"/>
      <c r="Y8" s="276"/>
      <c r="Z8" s="276"/>
      <c r="AA8" s="625"/>
      <c r="AB8" s="625"/>
      <c r="AC8" s="625"/>
      <c r="AD8" s="625"/>
      <c r="AE8" s="624">
        <f t="shared" si="3"/>
        <v>10</v>
      </c>
      <c r="AF8" s="258"/>
      <c r="AG8" s="625">
        <f>[14]A05!$C$186</f>
        <v>126</v>
      </c>
      <c r="AH8" s="625">
        <f>[15]A05!$C$186</f>
        <v>53</v>
      </c>
      <c r="AI8" s="625">
        <f>[16]A05!$C$186</f>
        <v>106</v>
      </c>
      <c r="AJ8" s="625">
        <f>[17]A05!$C$186</f>
        <v>74</v>
      </c>
      <c r="AK8" s="625">
        <f>[18]A05!$C$186</f>
        <v>77</v>
      </c>
      <c r="AL8" s="276"/>
      <c r="AM8" s="276"/>
      <c r="AN8" s="276"/>
      <c r="AO8" s="625"/>
      <c r="AP8" s="625"/>
      <c r="AQ8" s="625"/>
      <c r="AR8" s="625"/>
      <c r="AS8" s="624">
        <f t="shared" si="4"/>
        <v>436</v>
      </c>
      <c r="AT8" s="258"/>
      <c r="AU8" s="615">
        <f>SUM([14]A05!$C$234,[14]A05!$AN$241,[14]A05!$AO$241,[14]A05!$AP$241)</f>
        <v>60</v>
      </c>
      <c r="AV8" s="615">
        <f>SUM([15]A05!$C$234,[15]A05!$AN$241,[15]A05!$AO$241,[15]A05!$AP$241)</f>
        <v>12</v>
      </c>
      <c r="AW8" s="615">
        <f>SUM([16]A05!$C$234,[16]A05!$AN$241,[16]A05!$AO$241,[16]A05!$AP$241)</f>
        <v>112</v>
      </c>
      <c r="AX8" s="615">
        <f>SUM([17]A05!$C$234,[17]A05!$AN$241,[17]A05!$AO$241,[17]A05!$AP$241)</f>
        <v>67</v>
      </c>
      <c r="AY8" s="615">
        <f>SUM([18]A05!$C$234,[18]A05!$AN$241,[18]A05!$AO$241,[18]A05!$AP$241)</f>
        <v>12</v>
      </c>
      <c r="AZ8" s="258"/>
      <c r="BA8" s="258"/>
      <c r="BB8" s="258"/>
      <c r="BC8" s="436"/>
      <c r="BD8" s="436"/>
      <c r="BE8" s="436"/>
      <c r="BF8" s="436"/>
      <c r="BG8" s="264">
        <f t="shared" si="5"/>
        <v>263</v>
      </c>
      <c r="BH8" s="258"/>
      <c r="BI8" s="615">
        <f>SUM([14]A09!$G$12:$AB$12)</f>
        <v>115</v>
      </c>
      <c r="BJ8" s="615">
        <f>SUM([15]A09!$G$12:$AB$12)</f>
        <v>75</v>
      </c>
      <c r="BK8" s="615">
        <f>SUM([16]A09!$G$12:$AB$12)</f>
        <v>114</v>
      </c>
      <c r="BL8" s="615">
        <f>SUM([17]A09!$G$12:$AB$12)</f>
        <v>95</v>
      </c>
      <c r="BM8" s="615">
        <f>SUM([18]A09!$G$12:$AB$12)</f>
        <v>144</v>
      </c>
      <c r="BN8" s="258"/>
      <c r="BO8" s="258"/>
      <c r="BP8" s="258"/>
      <c r="BQ8" s="436"/>
      <c r="BR8" s="436"/>
      <c r="BS8" s="436"/>
      <c r="BT8" s="436"/>
      <c r="BU8" s="264">
        <f t="shared" si="6"/>
        <v>543</v>
      </c>
      <c r="BV8" s="258"/>
      <c r="BW8" s="615">
        <f>SUM([14]A09!$G$48:$L$48)</f>
        <v>26</v>
      </c>
      <c r="BX8" s="615">
        <f>SUM([15]A09!$G$48:$L$48)</f>
        <v>22</v>
      </c>
      <c r="BY8" s="615">
        <f>SUM([16]A09!$G$48:$L$48)</f>
        <v>38</v>
      </c>
      <c r="BZ8" s="615">
        <f>SUM([17]A09!$G$48:$L$48)</f>
        <v>29</v>
      </c>
      <c r="CA8" s="615">
        <f>SUM([18]A09!$G$48:$L$48)</f>
        <v>30</v>
      </c>
      <c r="CB8" s="258"/>
      <c r="CC8" s="258"/>
      <c r="CD8" s="258"/>
      <c r="CE8" s="436"/>
      <c r="CF8" s="436"/>
      <c r="CG8" s="436"/>
      <c r="CH8" s="436"/>
      <c r="CI8" s="264">
        <f t="shared" si="7"/>
        <v>145</v>
      </c>
      <c r="CJ8" s="289"/>
      <c r="CK8" s="438">
        <f t="shared" si="0"/>
        <v>583</v>
      </c>
      <c r="CL8" s="438">
        <f t="shared" si="0"/>
        <v>305</v>
      </c>
      <c r="CM8" s="438">
        <f t="shared" si="0"/>
        <v>474</v>
      </c>
      <c r="CN8" s="438">
        <f t="shared" si="0"/>
        <v>466</v>
      </c>
      <c r="CO8" s="438">
        <f t="shared" si="0"/>
        <v>449</v>
      </c>
      <c r="CP8" s="438">
        <f t="shared" si="0"/>
        <v>0</v>
      </c>
      <c r="CQ8" s="438">
        <f t="shared" si="0"/>
        <v>0</v>
      </c>
      <c r="CR8" s="438">
        <f t="shared" si="0"/>
        <v>0</v>
      </c>
      <c r="CS8" s="438">
        <f t="shared" si="8"/>
        <v>0</v>
      </c>
      <c r="CT8" s="438">
        <f t="shared" si="9"/>
        <v>0</v>
      </c>
      <c r="CU8" s="438">
        <f t="shared" si="10"/>
        <v>0</v>
      </c>
      <c r="CV8" s="438">
        <f t="shared" si="1"/>
        <v>0</v>
      </c>
      <c r="CW8" s="264">
        <f t="shared" si="11"/>
        <v>2277</v>
      </c>
      <c r="CX8" s="258"/>
      <c r="CY8" s="627">
        <f>SUM([14]A06!$C$22:$C$23,[14]A06!$E$32)</f>
        <v>516</v>
      </c>
      <c r="CZ8" s="627">
        <f>SUM([15]A06!$C$22:$C$23,[15]A06!$E$32)</f>
        <v>261</v>
      </c>
      <c r="DA8" s="627">
        <f>SUM([16]A06!$C$22:$C$23,[16]A06!$E$32)</f>
        <v>407</v>
      </c>
      <c r="DB8" s="627">
        <f>SUM([17]A06!$C$22:$C$23,[17]A06!$E$32)</f>
        <v>370</v>
      </c>
      <c r="DC8" s="627">
        <f>SUM([18]A06!$C$22:$C$23,[18]A06!$E$32)</f>
        <v>365</v>
      </c>
      <c r="DG8" s="439"/>
      <c r="DH8" s="439"/>
      <c r="DI8" s="439"/>
      <c r="DJ8" s="439"/>
      <c r="DK8" s="264">
        <f t="shared" si="12"/>
        <v>1919</v>
      </c>
      <c r="DM8" s="628">
        <f>SUM([14]A19a!$C$97:$C$99)</f>
        <v>0</v>
      </c>
      <c r="DN8" s="628">
        <f>SUM([15]A19a!$C$97:$C$99)</f>
        <v>0</v>
      </c>
      <c r="DO8" s="628">
        <f>SUM([16]A19a!$C$97:$C$99)</f>
        <v>0</v>
      </c>
      <c r="DP8" s="628">
        <f>SUM([17]A19a!$C$97:$C$99)</f>
        <v>0</v>
      </c>
      <c r="DQ8" s="628">
        <f>SUM([18]A19a!$C$97:$C$99)</f>
        <v>0</v>
      </c>
      <c r="DU8" s="439"/>
      <c r="DV8" s="439"/>
      <c r="DW8" s="439"/>
      <c r="DX8" s="439"/>
      <c r="DY8" s="264">
        <f t="shared" si="13"/>
        <v>0</v>
      </c>
      <c r="EA8" s="628">
        <f>SUM([14]A26!$C$30:$C$31,[14]A26!$C$38:$E$38)</f>
        <v>6</v>
      </c>
      <c r="EB8" s="628">
        <f>SUM([15]A26!$C$30:$C$31,[15]A26!$C$38:$E$38)</f>
        <v>4</v>
      </c>
      <c r="EC8" s="628">
        <f>SUM([16]A26!$C$30:$C$31,[16]A26!$C$38:$E$38)</f>
        <v>1</v>
      </c>
      <c r="ED8" s="628">
        <f>SUM([17]A26!$C$30:$C$31,[17]A26!$C$38:$E$38)</f>
        <v>9</v>
      </c>
      <c r="EE8" s="628">
        <f>SUM([18]A26!$C$30:$C$31,[18]A26!$C$38:$E$38)</f>
        <v>0</v>
      </c>
      <c r="EI8" s="439"/>
      <c r="EJ8" s="439"/>
      <c r="EK8" s="439"/>
      <c r="EL8" s="439"/>
      <c r="EM8" s="264">
        <f t="shared" si="14"/>
        <v>20</v>
      </c>
      <c r="EO8" s="628">
        <f>SUM([14]A32!$B$127:$B$129,[14]A32!$C$144,[14]A32!$C$155)</f>
        <v>0</v>
      </c>
      <c r="EP8" s="628">
        <f>SUM([15]A32!$B$127:$B$129,[15]A32!$C$144,[15]A32!$C$155)</f>
        <v>0</v>
      </c>
      <c r="EQ8" s="628">
        <f>SUM([16]A32!$B$127:$B$129,[16]A32!$C$144,[16]A32!$C$155)</f>
        <v>0</v>
      </c>
      <c r="ER8" s="628">
        <f>SUM([17]A32!$B$127:$B$129,[17]A32!$C$144,[17]A32!$C$155)</f>
        <v>0</v>
      </c>
      <c r="ES8" s="628">
        <f>SUM([18]A32!$B$127:$B$129,[18]A32!$C$144,[18]A32!$C$155)</f>
        <v>0</v>
      </c>
      <c r="EW8" s="439"/>
      <c r="EX8" s="439"/>
      <c r="EY8" s="439"/>
      <c r="EZ8" s="439"/>
      <c r="FA8" s="264">
        <f t="shared" si="15"/>
        <v>0</v>
      </c>
      <c r="FC8" s="628">
        <f>SUM([14]A04!$B$24)</f>
        <v>61</v>
      </c>
      <c r="FD8" s="628">
        <f>SUM([15]A04!$B$24)</f>
        <v>40</v>
      </c>
      <c r="FE8" s="628">
        <f>SUM([16]A04!$B$24)</f>
        <v>66</v>
      </c>
      <c r="FF8" s="628">
        <f>SUM([17]A04!$B$24)</f>
        <v>87</v>
      </c>
      <c r="FG8" s="628">
        <f>SUM([18]A04!$B$24)</f>
        <v>84</v>
      </c>
      <c r="FK8" s="439"/>
      <c r="FL8" s="439"/>
      <c r="FM8" s="439"/>
      <c r="FN8" s="439"/>
      <c r="FO8" s="264">
        <f t="shared" si="16"/>
        <v>338</v>
      </c>
    </row>
    <row r="9" spans="2:171" x14ac:dyDescent="0.2">
      <c r="B9" s="150">
        <v>107356</v>
      </c>
      <c r="C9" s="151" t="s">
        <v>98</v>
      </c>
      <c r="D9" s="250"/>
      <c r="E9" s="625">
        <f>SUM([20]A05!$H$114:$Y$114)</f>
        <v>26</v>
      </c>
      <c r="F9" s="625">
        <f>SUM([21]A05!$H$114:$Y$114)</f>
        <v>21</v>
      </c>
      <c r="G9" s="625">
        <f>SUM([22]A05!$H$114:$Y$114)</f>
        <v>14</v>
      </c>
      <c r="H9" s="625">
        <f>SUM([23]A05!$H$114:$Y$114)</f>
        <v>16</v>
      </c>
      <c r="I9" s="625">
        <f>SUM([24]A05!$H$114:$Y$114)</f>
        <v>18</v>
      </c>
      <c r="J9" s="276"/>
      <c r="K9" s="276"/>
      <c r="L9" s="276"/>
      <c r="M9" s="625"/>
      <c r="N9" s="625"/>
      <c r="O9" s="625"/>
      <c r="P9" s="625"/>
      <c r="Q9" s="624">
        <f t="shared" si="2"/>
        <v>95</v>
      </c>
      <c r="R9" s="258"/>
      <c r="S9" s="625">
        <f>SUM([20]A05!$H$127:$Y$127)</f>
        <v>1</v>
      </c>
      <c r="T9" s="625">
        <f>SUM([21]A05!$H$127:$Y$127)</f>
        <v>10</v>
      </c>
      <c r="U9" s="625">
        <f>SUM([22]A05!$H$127:$Y$127)</f>
        <v>0</v>
      </c>
      <c r="V9" s="625">
        <f>SUM([23]A05!$H$127:$Y$127)</f>
        <v>1</v>
      </c>
      <c r="W9" s="625">
        <f>SUM([24]A05!$H$127:$Y$127)</f>
        <v>0</v>
      </c>
      <c r="X9" s="276"/>
      <c r="Y9" s="276"/>
      <c r="Z9" s="276"/>
      <c r="AA9" s="625"/>
      <c r="AB9" s="625"/>
      <c r="AC9" s="625"/>
      <c r="AD9" s="625"/>
      <c r="AE9" s="624">
        <f t="shared" si="3"/>
        <v>12</v>
      </c>
      <c r="AF9" s="258"/>
      <c r="AG9" s="625">
        <f>[20]A05!$C$186</f>
        <v>32</v>
      </c>
      <c r="AH9" s="625">
        <f>[21]A05!$C$186</f>
        <v>30</v>
      </c>
      <c r="AI9" s="625">
        <f>[22]A05!$C$186</f>
        <v>69</v>
      </c>
      <c r="AJ9" s="625">
        <f>[23]A05!$C$186</f>
        <v>45</v>
      </c>
      <c r="AK9" s="625">
        <f>[24]A05!$C$186</f>
        <v>16</v>
      </c>
      <c r="AL9" s="276"/>
      <c r="AM9" s="276"/>
      <c r="AN9" s="276"/>
      <c r="AO9" s="625"/>
      <c r="AP9" s="625"/>
      <c r="AQ9" s="625"/>
      <c r="AR9" s="625"/>
      <c r="AS9" s="624">
        <f t="shared" si="4"/>
        <v>192</v>
      </c>
      <c r="AT9" s="258"/>
      <c r="AU9" s="615">
        <f>SUM([20]A05!$C$234,[20]A05!$AN$241,[20]A05!$AO$241,[20]A05!$AP$241)</f>
        <v>1</v>
      </c>
      <c r="AV9" s="615">
        <f>SUM([21]A05!$C$234,[21]A05!$AN$241,[21]A05!$AO$241,[21]A05!$AP$241)</f>
        <v>2</v>
      </c>
      <c r="AW9" s="615">
        <f>SUM([22]A05!$C$234,[22]A05!$AN$241,[22]A05!$AO$241,[22]A05!$AP$241)</f>
        <v>21</v>
      </c>
      <c r="AX9" s="615">
        <f>SUM([23]A05!$C$234,[23]A05!$AN$241,[23]A05!$AO$241,[23]A05!$AP$241)</f>
        <v>0</v>
      </c>
      <c r="AY9" s="615">
        <f>SUM([24]A05!$C$234,[24]A05!$AN$241,[24]A05!$AO$241,[24]A05!$AP$241)</f>
        <v>10</v>
      </c>
      <c r="AZ9" s="258"/>
      <c r="BA9" s="258"/>
      <c r="BB9" s="258"/>
      <c r="BC9" s="436"/>
      <c r="BD9" s="436"/>
      <c r="BE9" s="436"/>
      <c r="BF9" s="436"/>
      <c r="BG9" s="264">
        <f t="shared" si="5"/>
        <v>34</v>
      </c>
      <c r="BH9" s="258"/>
      <c r="BI9" s="615">
        <f>SUM([20]A09!$G$12:$AB$12)</f>
        <v>533</v>
      </c>
      <c r="BJ9" s="615">
        <f>SUM([21]A09!$G$12:$AB$12)</f>
        <v>0</v>
      </c>
      <c r="BK9" s="615">
        <f>SUM([22]A09!$G$12:$AB$12)</f>
        <v>269</v>
      </c>
      <c r="BL9" s="615">
        <f>SUM([23]A09!$G$12:$AB$12)</f>
        <v>244</v>
      </c>
      <c r="BM9" s="615">
        <f>SUM([24]A09!$G$12:$AB$12)</f>
        <v>291</v>
      </c>
      <c r="BN9" s="258"/>
      <c r="BO9" s="258"/>
      <c r="BP9" s="258"/>
      <c r="BQ9" s="436"/>
      <c r="BR9" s="436"/>
      <c r="BS9" s="436"/>
      <c r="BT9" s="436"/>
      <c r="BU9" s="264">
        <f t="shared" si="6"/>
        <v>1337</v>
      </c>
      <c r="BV9" s="258"/>
      <c r="BW9" s="615">
        <f>SUM([20]A09!$G$48:$L$48)</f>
        <v>39</v>
      </c>
      <c r="BX9" s="615">
        <f>SUM([21]A09!$G$48:$L$48)</f>
        <v>33</v>
      </c>
      <c r="BY9" s="615">
        <f>SUM([22]A09!$G$48:$L$48)</f>
        <v>30</v>
      </c>
      <c r="BZ9" s="615">
        <f>SUM([23]A09!$G$48:$L$48)</f>
        <v>25</v>
      </c>
      <c r="CA9" s="615">
        <f>SUM([24]A09!$G$48:$L$48)</f>
        <v>21</v>
      </c>
      <c r="CB9" s="258"/>
      <c r="CC9" s="258"/>
      <c r="CD9" s="258"/>
      <c r="CE9" s="436"/>
      <c r="CF9" s="436"/>
      <c r="CG9" s="436"/>
      <c r="CH9" s="436"/>
      <c r="CI9" s="264">
        <f t="shared" si="7"/>
        <v>148</v>
      </c>
      <c r="CJ9" s="289"/>
      <c r="CK9" s="438">
        <f t="shared" si="0"/>
        <v>385</v>
      </c>
      <c r="CL9" s="438">
        <f t="shared" si="0"/>
        <v>389</v>
      </c>
      <c r="CM9" s="438">
        <f t="shared" si="0"/>
        <v>561</v>
      </c>
      <c r="CN9" s="438">
        <f t="shared" si="0"/>
        <v>579</v>
      </c>
      <c r="CO9" s="438">
        <f t="shared" si="0"/>
        <v>459</v>
      </c>
      <c r="CP9" s="438">
        <f t="shared" si="0"/>
        <v>0</v>
      </c>
      <c r="CQ9" s="438">
        <f t="shared" si="0"/>
        <v>0</v>
      </c>
      <c r="CR9" s="438">
        <f t="shared" si="0"/>
        <v>0</v>
      </c>
      <c r="CS9" s="438">
        <f t="shared" si="8"/>
        <v>0</v>
      </c>
      <c r="CT9" s="438">
        <f t="shared" si="9"/>
        <v>0</v>
      </c>
      <c r="CU9" s="438">
        <f t="shared" si="10"/>
        <v>0</v>
      </c>
      <c r="CV9" s="438">
        <f t="shared" si="1"/>
        <v>0</v>
      </c>
      <c r="CW9" s="264">
        <f t="shared" si="11"/>
        <v>2373</v>
      </c>
      <c r="CX9" s="258"/>
      <c r="CY9" s="627">
        <f>SUM([20]A06!$C$22:$C$23,[20]A06!$E$32)</f>
        <v>367</v>
      </c>
      <c r="CZ9" s="627">
        <f>SUM([21]A06!$C$22:$C$23,[21]A06!$E$32)</f>
        <v>366</v>
      </c>
      <c r="DA9" s="627">
        <f>SUM([22]A06!$C$22:$C$23,[22]A06!$E$32)</f>
        <v>520</v>
      </c>
      <c r="DB9" s="627">
        <f>SUM([23]A06!$C$22:$C$23,[23]A06!$E$32)</f>
        <v>491</v>
      </c>
      <c r="DC9" s="627">
        <f>SUM([24]A06!$C$22:$C$23,[24]A06!$E$32)</f>
        <v>427</v>
      </c>
      <c r="DG9" s="439"/>
      <c r="DH9" s="439"/>
      <c r="DI9" s="439"/>
      <c r="DJ9" s="439"/>
      <c r="DK9" s="264">
        <f t="shared" si="12"/>
        <v>2171</v>
      </c>
      <c r="DM9" s="628">
        <f>SUM([20]A19a!$C$97:$C$99)</f>
        <v>0</v>
      </c>
      <c r="DN9" s="628">
        <f>SUM([21]A19a!$C$97:$C$99)</f>
        <v>0</v>
      </c>
      <c r="DO9" s="628">
        <f>SUM([22]A19a!$C$97:$C$99)</f>
        <v>1</v>
      </c>
      <c r="DP9" s="628">
        <f>SUM([23]A19a!$C$97:$C$99)</f>
        <v>5</v>
      </c>
      <c r="DQ9" s="628">
        <f>SUM([24]A19a!$C$97:$C$99)</f>
        <v>0</v>
      </c>
      <c r="DU9" s="439"/>
      <c r="DV9" s="439"/>
      <c r="DW9" s="439"/>
      <c r="DX9" s="439"/>
      <c r="DY9" s="264">
        <f t="shared" si="13"/>
        <v>6</v>
      </c>
      <c r="EA9" s="628">
        <f>SUM([20]A26!$C$30:$C$31,[20]A26!$C$38:$E$38)</f>
        <v>5</v>
      </c>
      <c r="EB9" s="628">
        <f>SUM([21]A26!$C$30:$C$31,[21]A26!$C$38:$E$38)</f>
        <v>0</v>
      </c>
      <c r="EC9" s="628">
        <f>SUM([22]A26!$C$30:$C$31,[22]A26!$C$38:$E$38)</f>
        <v>2</v>
      </c>
      <c r="ED9" s="628">
        <f>SUM([23]A26!$C$30:$C$31,[23]A26!$C$38:$E$38)</f>
        <v>1</v>
      </c>
      <c r="EE9" s="628">
        <f>SUM([24]A26!$C$30:$C$31,[24]A26!$C$38:$E$38)</f>
        <v>5</v>
      </c>
      <c r="EI9" s="439"/>
      <c r="EJ9" s="439"/>
      <c r="EK9" s="439"/>
      <c r="EL9" s="439"/>
      <c r="EM9" s="264">
        <f t="shared" si="14"/>
        <v>13</v>
      </c>
      <c r="EO9" s="628">
        <f>SUM([20]A32!$B$127:$B$129,[20]A32!$C$144,[20]A32!$C$155)</f>
        <v>0</v>
      </c>
      <c r="EP9" s="628">
        <f>SUM([21]A32!$B$127:$B$129,[21]A32!$C$144,[21]A32!$C$155)</f>
        <v>12</v>
      </c>
      <c r="EQ9" s="628">
        <f>SUM([22]A32!$B$127:$B$129,[22]A32!$C$144,[22]A32!$C$155)</f>
        <v>19</v>
      </c>
      <c r="ER9" s="628">
        <f>SUM([23]A32!$B$127:$B$129,[23]A32!$C$144,[23]A32!$C$155)</f>
        <v>27</v>
      </c>
      <c r="ES9" s="628">
        <f>SUM([24]A32!$B$127:$B$129,[24]A32!$C$144,[24]A32!$C$155)</f>
        <v>0</v>
      </c>
      <c r="EW9" s="439"/>
      <c r="EX9" s="439"/>
      <c r="EY9" s="439"/>
      <c r="EZ9" s="439"/>
      <c r="FA9" s="264">
        <f t="shared" si="15"/>
        <v>58</v>
      </c>
      <c r="FC9" s="628">
        <f>SUM([20]A04!$B$24)</f>
        <v>13</v>
      </c>
      <c r="FD9" s="628">
        <f>SUM([21]A04!$B$24)</f>
        <v>11</v>
      </c>
      <c r="FE9" s="628">
        <f>SUM([22]A04!$B$24)</f>
        <v>19</v>
      </c>
      <c r="FF9" s="628">
        <f>SUM([23]A04!$B$24)</f>
        <v>55</v>
      </c>
      <c r="FG9" s="628">
        <f>SUM([24]A04!$B$24)</f>
        <v>27</v>
      </c>
      <c r="FK9" s="439"/>
      <c r="FL9" s="439"/>
      <c r="FM9" s="439"/>
      <c r="FN9" s="439"/>
      <c r="FO9" s="264">
        <f t="shared" si="16"/>
        <v>125</v>
      </c>
    </row>
    <row r="10" spans="2:171" x14ac:dyDescent="0.2">
      <c r="B10" s="150">
        <v>107357</v>
      </c>
      <c r="C10" s="151" t="s">
        <v>99</v>
      </c>
      <c r="D10" s="250"/>
      <c r="E10" s="625">
        <f>SUM([26]A05!$H$114:$Y$114)</f>
        <v>11</v>
      </c>
      <c r="F10" s="625">
        <f>SUM([27]A05!$H$114:$Y$114)</f>
        <v>8</v>
      </c>
      <c r="G10" s="625">
        <f>SUM([28]A05!$H$114:$Y$114)</f>
        <v>23</v>
      </c>
      <c r="H10" s="625">
        <f>SUM([29]A05!$H$114:$Y$114)</f>
        <v>14</v>
      </c>
      <c r="I10" s="625">
        <f>SUM([30]A05!$H$114:$Y$114)</f>
        <v>9</v>
      </c>
      <c r="J10" s="276"/>
      <c r="K10" s="276"/>
      <c r="L10" s="276"/>
      <c r="M10" s="625"/>
      <c r="N10" s="625"/>
      <c r="O10" s="625"/>
      <c r="P10" s="625"/>
      <c r="Q10" s="624">
        <f t="shared" si="2"/>
        <v>65</v>
      </c>
      <c r="R10" s="258"/>
      <c r="S10" s="625">
        <f>SUM([26]A05!$H$127:$Y$127)</f>
        <v>1</v>
      </c>
      <c r="T10" s="625">
        <f>SUM([27]A05!$H$127:$Y$127)</f>
        <v>2</v>
      </c>
      <c r="U10" s="625">
        <f>SUM([28]A05!$H$127:$Y$127)</f>
        <v>0</v>
      </c>
      <c r="V10" s="625">
        <f>SUM([29]A05!$H$127:$Y$127)</f>
        <v>1</v>
      </c>
      <c r="W10" s="625">
        <f>SUM([30]A05!$H$127:$Y$127)</f>
        <v>0</v>
      </c>
      <c r="X10" s="276"/>
      <c r="Y10" s="276"/>
      <c r="Z10" s="276"/>
      <c r="AA10" s="625"/>
      <c r="AB10" s="625"/>
      <c r="AC10" s="625"/>
      <c r="AD10" s="625"/>
      <c r="AE10" s="624">
        <f t="shared" si="3"/>
        <v>4</v>
      </c>
      <c r="AF10" s="258"/>
      <c r="AG10" s="625">
        <f>[26]A05!$C$186</f>
        <v>19</v>
      </c>
      <c r="AH10" s="625">
        <f>[27]A05!$C$186</f>
        <v>25</v>
      </c>
      <c r="AI10" s="625">
        <f>[28]A05!$C$186</f>
        <v>84</v>
      </c>
      <c r="AJ10" s="625">
        <f>[29]A05!$C$186</f>
        <v>61</v>
      </c>
      <c r="AK10" s="625">
        <f>[30]A05!$C$186</f>
        <v>30</v>
      </c>
      <c r="AL10" s="276"/>
      <c r="AM10" s="276"/>
      <c r="AN10" s="276"/>
      <c r="AO10" s="625"/>
      <c r="AP10" s="625"/>
      <c r="AQ10" s="625"/>
      <c r="AR10" s="625"/>
      <c r="AS10" s="624">
        <f t="shared" si="4"/>
        <v>219</v>
      </c>
      <c r="AT10" s="258"/>
      <c r="AU10" s="615">
        <f>SUM([26]A05!$C$234,[26]A05!$AN$241,[26]A05!$AO$241,[26]A05!$AP$241)</f>
        <v>8</v>
      </c>
      <c r="AV10" s="615">
        <f>SUM([27]A05!$C$234,[27]A05!$AN$241,[27]A05!$AO$241,[27]A05!$AP$241)</f>
        <v>0</v>
      </c>
      <c r="AW10" s="615">
        <f>SUM([28]A05!$C$234,[28]A05!$AN$241,[28]A05!$AO$241,[28]A05!$AP$241)</f>
        <v>0</v>
      </c>
      <c r="AX10" s="615">
        <f>SUM([29]A05!$C$234,[29]A05!$AN$241,[29]A05!$AO$241,[29]A05!$AP$241)</f>
        <v>0</v>
      </c>
      <c r="AY10" s="615">
        <f>SUM([30]A05!$C$234,[30]A05!$AN$241,[30]A05!$AO$241,[30]A05!$AP$241)</f>
        <v>4</v>
      </c>
      <c r="AZ10" s="258"/>
      <c r="BA10" s="258"/>
      <c r="BB10" s="258"/>
      <c r="BC10" s="436"/>
      <c r="BD10" s="436"/>
      <c r="BE10" s="436"/>
      <c r="BF10" s="436"/>
      <c r="BG10" s="264">
        <f t="shared" si="5"/>
        <v>12</v>
      </c>
      <c r="BH10" s="258"/>
      <c r="BI10" s="615">
        <f>SUM([26]A09!$G$12:$AB$12)</f>
        <v>97</v>
      </c>
      <c r="BJ10" s="615">
        <f>SUM([27]A09!$G$12:$AB$12)</f>
        <v>105</v>
      </c>
      <c r="BK10" s="615">
        <f>SUM([28]A09!$G$12:$AB$12)</f>
        <v>59</v>
      </c>
      <c r="BL10" s="615">
        <f>SUM([29]A09!$G$12:$AB$12)</f>
        <v>95</v>
      </c>
      <c r="BM10" s="615">
        <f>SUM([30]A09!$G$12:$AB$12)</f>
        <v>129</v>
      </c>
      <c r="BN10" s="258"/>
      <c r="BO10" s="258"/>
      <c r="BP10" s="258"/>
      <c r="BQ10" s="436"/>
      <c r="BR10" s="436"/>
      <c r="BS10" s="436"/>
      <c r="BT10" s="436"/>
      <c r="BU10" s="264">
        <f t="shared" si="6"/>
        <v>485</v>
      </c>
      <c r="BV10" s="258"/>
      <c r="BW10" s="615">
        <f>SUM([26]A09!$G$48:$L$48)</f>
        <v>11</v>
      </c>
      <c r="BX10" s="615">
        <f>SUM([27]A09!$G$48:$L$48)</f>
        <v>9</v>
      </c>
      <c r="BY10" s="615">
        <f>SUM([28]A09!$G$48:$L$48)</f>
        <v>6</v>
      </c>
      <c r="BZ10" s="615">
        <f>SUM([29]A09!$G$48:$L$48)</f>
        <v>14</v>
      </c>
      <c r="CA10" s="615">
        <f>SUM([30]A09!$G$48:$L$48)</f>
        <v>19</v>
      </c>
      <c r="CB10" s="258"/>
      <c r="CC10" s="258"/>
      <c r="CD10" s="258"/>
      <c r="CE10" s="436"/>
      <c r="CF10" s="436"/>
      <c r="CG10" s="436"/>
      <c r="CH10" s="436"/>
      <c r="CI10" s="264">
        <f t="shared" si="7"/>
        <v>59</v>
      </c>
      <c r="CJ10" s="438">
        <f t="shared" ref="CJ10" si="17">+CX10+DL10+DZ10+EN10+FB10</f>
        <v>0</v>
      </c>
      <c r="CK10" s="438">
        <f t="shared" si="0"/>
        <v>577</v>
      </c>
      <c r="CL10" s="438">
        <f t="shared" si="0"/>
        <v>335</v>
      </c>
      <c r="CM10" s="438">
        <f t="shared" si="0"/>
        <v>430</v>
      </c>
      <c r="CN10" s="438">
        <f t="shared" si="0"/>
        <v>565</v>
      </c>
      <c r="CO10" s="438">
        <f t="shared" si="0"/>
        <v>520</v>
      </c>
      <c r="CP10" s="438">
        <f t="shared" si="0"/>
        <v>0</v>
      </c>
      <c r="CQ10" s="438">
        <f t="shared" si="0"/>
        <v>0</v>
      </c>
      <c r="CR10" s="438">
        <f t="shared" si="0"/>
        <v>0</v>
      </c>
      <c r="CS10" s="438">
        <f t="shared" si="8"/>
        <v>0</v>
      </c>
      <c r="CT10" s="438">
        <f t="shared" si="9"/>
        <v>0</v>
      </c>
      <c r="CU10" s="438">
        <f t="shared" si="10"/>
        <v>0</v>
      </c>
      <c r="CV10" s="438">
        <f t="shared" si="1"/>
        <v>0</v>
      </c>
      <c r="CW10" s="264">
        <f t="shared" si="11"/>
        <v>2427</v>
      </c>
      <c r="CX10" s="258"/>
      <c r="CY10" s="627">
        <f>SUM([26]A06!$C$22:$C$23,[26]A06!$E$32)</f>
        <v>499</v>
      </c>
      <c r="CZ10" s="627">
        <f>SUM([27]A06!$C$22:$C$23,[27]A06!$E$32)</f>
        <v>230</v>
      </c>
      <c r="DA10" s="627">
        <f>SUM([28]A06!$C$22:$C$23,[28]A06!$E$32)</f>
        <v>351</v>
      </c>
      <c r="DB10" s="627">
        <f>SUM([29]A06!$C$22:$C$23,[29]A06!$E$32)</f>
        <v>433</v>
      </c>
      <c r="DC10" s="627">
        <f>SUM([30]A06!$C$22:$C$23,[30]A06!$E$32)</f>
        <v>447</v>
      </c>
      <c r="DG10" s="439"/>
      <c r="DH10" s="439"/>
      <c r="DI10" s="439"/>
      <c r="DJ10" s="439"/>
      <c r="DK10" s="264">
        <f t="shared" si="12"/>
        <v>1960</v>
      </c>
      <c r="DM10" s="628">
        <f>SUM([26]A19a!$C$97:$C$99)</f>
        <v>0</v>
      </c>
      <c r="DN10" s="628">
        <f>SUM([27]A19a!$C$97:$C$99)</f>
        <v>0</v>
      </c>
      <c r="DO10" s="628">
        <f>SUM([28]A19a!$C$97:$C$99)</f>
        <v>0</v>
      </c>
      <c r="DP10" s="628">
        <f>SUM([29]A19a!$C$97:$C$99)</f>
        <v>0</v>
      </c>
      <c r="DQ10" s="628">
        <f>SUM([30]A19a!$C$97:$C$99)</f>
        <v>0</v>
      </c>
      <c r="DU10" s="439"/>
      <c r="DV10" s="439"/>
      <c r="DW10" s="439"/>
      <c r="DX10" s="439"/>
      <c r="DY10" s="264">
        <f t="shared" si="13"/>
        <v>0</v>
      </c>
      <c r="EA10" s="628">
        <f>SUM([26]A26!$C$30:$C$31,[26]A26!$C$38:$E$38)</f>
        <v>27</v>
      </c>
      <c r="EB10" s="628">
        <f>SUM([27]A26!$C$30:$C$31,[27]A26!$C$38:$E$38)</f>
        <v>5</v>
      </c>
      <c r="EC10" s="628">
        <f>SUM([28]A26!$C$30:$C$31,[28]A26!$C$38:$E$38)</f>
        <v>4</v>
      </c>
      <c r="ED10" s="628">
        <f>SUM([29]A26!$C$30:$C$31,[29]A26!$C$38:$E$38)</f>
        <v>6</v>
      </c>
      <c r="EE10" s="628">
        <f>SUM([30]A26!$C$30:$C$31,[30]A26!$C$38:$E$38)</f>
        <v>9</v>
      </c>
      <c r="EI10" s="439"/>
      <c r="EJ10" s="439"/>
      <c r="EK10" s="439"/>
      <c r="EL10" s="439"/>
      <c r="EM10" s="264">
        <f t="shared" si="14"/>
        <v>51</v>
      </c>
      <c r="EO10" s="628">
        <f>SUM([26]A32!$B$127:$B$129,[26]A32!$C$144,[26]A32!$C$155)</f>
        <v>0</v>
      </c>
      <c r="EP10" s="628">
        <f>SUM([27]A32!$B$127:$B$129,[27]A32!$C$144,[27]A32!$C$155)</f>
        <v>0</v>
      </c>
      <c r="EQ10" s="628">
        <f>SUM([28]A32!$B$127:$B$129,[28]A32!$C$144,[28]A32!$C$155)</f>
        <v>0</v>
      </c>
      <c r="ER10" s="628">
        <f>SUM([29]A32!$B$127:$B$129,[29]A32!$C$144,[29]A32!$C$155)</f>
        <v>0</v>
      </c>
      <c r="ES10" s="628">
        <f>SUM([30]A32!$B$127:$B$129,[30]A32!$C$144,[30]A32!$C$155)</f>
        <v>0</v>
      </c>
      <c r="EW10" s="439"/>
      <c r="EX10" s="439"/>
      <c r="EY10" s="439"/>
      <c r="EZ10" s="439"/>
      <c r="FA10" s="264">
        <f t="shared" si="15"/>
        <v>0</v>
      </c>
      <c r="FC10" s="628">
        <f>SUM([26]A04!$B$24)</f>
        <v>51</v>
      </c>
      <c r="FD10" s="628">
        <f>SUM([27]A04!$B$24)</f>
        <v>100</v>
      </c>
      <c r="FE10" s="628">
        <f>SUM([28]A04!$B$24)</f>
        <v>75</v>
      </c>
      <c r="FF10" s="628">
        <f>SUM([29]A04!$B$24)</f>
        <v>126</v>
      </c>
      <c r="FG10" s="628">
        <f>SUM([30]A04!$B$24)</f>
        <v>64</v>
      </c>
      <c r="FK10" s="439"/>
      <c r="FL10" s="439"/>
      <c r="FM10" s="439"/>
      <c r="FN10" s="439"/>
      <c r="FO10" s="264">
        <f t="shared" si="16"/>
        <v>416</v>
      </c>
    </row>
    <row r="11" spans="2:171" x14ac:dyDescent="0.2">
      <c r="B11" s="150">
        <v>107400</v>
      </c>
      <c r="C11" s="151" t="s">
        <v>100</v>
      </c>
      <c r="D11" s="250"/>
      <c r="E11" s="625">
        <f>SUM([32]A05!$H$114:$Y$114)</f>
        <v>0</v>
      </c>
      <c r="F11" s="625">
        <f>SUM([33]A05!$H$114:$Y$114)</f>
        <v>0</v>
      </c>
      <c r="G11" s="625">
        <f>SUM([34]A05!$H$114:$Y$114)</f>
        <v>3</v>
      </c>
      <c r="H11" s="625">
        <f>SUM([35]A05!$H$114:$Y$114)</f>
        <v>0</v>
      </c>
      <c r="I11" s="625">
        <f>SUM([36]A05!$H$114:$Y$114)</f>
        <v>0</v>
      </c>
      <c r="J11" s="276"/>
      <c r="K11" s="276"/>
      <c r="L11" s="276"/>
      <c r="M11" s="625"/>
      <c r="N11" s="625"/>
      <c r="O11" s="625"/>
      <c r="P11" s="625"/>
      <c r="Q11" s="624">
        <f t="shared" si="2"/>
        <v>3</v>
      </c>
      <c r="R11" s="258"/>
      <c r="S11" s="625">
        <f>SUM([32]A05!$H$127:$Y$127)</f>
        <v>0</v>
      </c>
      <c r="T11" s="625">
        <f>SUM([33]A05!$H$127:$Y$127)</f>
        <v>0</v>
      </c>
      <c r="U11" s="625">
        <f>SUM([34]A05!$H$127:$Y$127)</f>
        <v>0</v>
      </c>
      <c r="V11" s="625">
        <f>SUM([35]A05!$H$127:$Y$127)</f>
        <v>0</v>
      </c>
      <c r="W11" s="625">
        <f>SUM([36]A05!$H$127:$Y$127)</f>
        <v>0</v>
      </c>
      <c r="X11" s="276"/>
      <c r="Y11" s="276"/>
      <c r="Z11" s="276"/>
      <c r="AA11" s="625"/>
      <c r="AB11" s="625"/>
      <c r="AC11" s="625"/>
      <c r="AD11" s="625"/>
      <c r="AE11" s="624">
        <f t="shared" si="3"/>
        <v>0</v>
      </c>
      <c r="AF11" s="258"/>
      <c r="AG11" s="625">
        <f>[32]A05!$C$186</f>
        <v>1</v>
      </c>
      <c r="AH11" s="625">
        <f>[33]A05!$C$186</f>
        <v>0</v>
      </c>
      <c r="AI11" s="625">
        <f>[34]A05!$C$186</f>
        <v>1</v>
      </c>
      <c r="AJ11" s="625">
        <f>[35]A05!$C$186</f>
        <v>1</v>
      </c>
      <c r="AK11" s="625">
        <f>[36]A05!$C$186</f>
        <v>0</v>
      </c>
      <c r="AL11" s="276"/>
      <c r="AM11" s="276"/>
      <c r="AN11" s="276"/>
      <c r="AO11" s="625"/>
      <c r="AP11" s="625"/>
      <c r="AQ11" s="625"/>
      <c r="AR11" s="625"/>
      <c r="AS11" s="624">
        <f t="shared" si="4"/>
        <v>3</v>
      </c>
      <c r="AT11" s="258"/>
      <c r="AU11" s="615">
        <f>SUM([32]A05!$C$234,[32]A05!$AN$241,[32]A05!$AO$241,[32]A05!$AP$241)</f>
        <v>2</v>
      </c>
      <c r="AV11" s="615">
        <f>SUM([33]A05!$C$234,[33]A05!$AN$241,[33]A05!$AO$241,[33]A05!$AP$241)</f>
        <v>0</v>
      </c>
      <c r="AW11" s="615">
        <f>SUM([34]A05!$C$234,[34]A05!$AN$241,[34]A05!$AO$241,[34]A05!$AP$241)</f>
        <v>1</v>
      </c>
      <c r="AX11" s="615">
        <f>SUM([35]A05!$C$234,[35]A05!$AN$241,[35]A05!$AO$241,[35]A05!$AP$241)</f>
        <v>1</v>
      </c>
      <c r="AY11" s="615">
        <f>SUM([36]A05!$C$234,[36]A05!$AN$241,[36]A05!$AO$241,[36]A05!$AP$241)</f>
        <v>3</v>
      </c>
      <c r="AZ11" s="258"/>
      <c r="BA11" s="258"/>
      <c r="BB11" s="258"/>
      <c r="BC11" s="436"/>
      <c r="BD11" s="436"/>
      <c r="BE11" s="436"/>
      <c r="BF11" s="436"/>
      <c r="BG11" s="264">
        <f t="shared" si="5"/>
        <v>7</v>
      </c>
      <c r="BH11" s="258"/>
      <c r="BI11" s="615">
        <f>SUM([32]A09!$G$12:$AB$12)</f>
        <v>10</v>
      </c>
      <c r="BJ11" s="615">
        <f>SUM([33]A09!$G$12:$AB$12)</f>
        <v>10</v>
      </c>
      <c r="BK11" s="615">
        <f>SUM([34]A09!$G$12:$AB$12)</f>
        <v>8</v>
      </c>
      <c r="BL11" s="615">
        <f>SUM([35]A09!$G$12:$AB$12)</f>
        <v>6</v>
      </c>
      <c r="BM11" s="615">
        <f>SUM([36]A09!$G$12:$AB$12)</f>
        <v>3</v>
      </c>
      <c r="BN11" s="258"/>
      <c r="BO11" s="258"/>
      <c r="BP11" s="258"/>
      <c r="BQ11" s="436"/>
      <c r="BR11" s="436"/>
      <c r="BS11" s="436"/>
      <c r="BT11" s="436"/>
      <c r="BU11" s="264">
        <f t="shared" si="6"/>
        <v>37</v>
      </c>
      <c r="BV11" s="258"/>
      <c r="BW11" s="615">
        <f>SUM([32]A09!$G$48:$L$48)</f>
        <v>0</v>
      </c>
      <c r="BX11" s="615">
        <f>SUM([33]A09!$G$48:$L$48)</f>
        <v>0</v>
      </c>
      <c r="BY11" s="615">
        <f>SUM([34]A09!$G$48:$L$48)</f>
        <v>1</v>
      </c>
      <c r="BZ11" s="615">
        <f>SUM([35]A09!$G$48:$L$48)</f>
        <v>1</v>
      </c>
      <c r="CA11" s="615">
        <f>SUM([36]A09!$G$48:$L$48)</f>
        <v>0</v>
      </c>
      <c r="CB11" s="258"/>
      <c r="CC11" s="258"/>
      <c r="CD11" s="258"/>
      <c r="CE11" s="436"/>
      <c r="CF11" s="436"/>
      <c r="CG11" s="436"/>
      <c r="CH11" s="436"/>
      <c r="CI11" s="264">
        <f t="shared" si="7"/>
        <v>2</v>
      </c>
      <c r="CJ11" s="289"/>
      <c r="CK11" s="438">
        <f t="shared" si="0"/>
        <v>23</v>
      </c>
      <c r="CL11" s="438">
        <f t="shared" si="0"/>
        <v>8</v>
      </c>
      <c r="CM11" s="438">
        <f t="shared" si="0"/>
        <v>26</v>
      </c>
      <c r="CN11" s="438">
        <f t="shared" si="0"/>
        <v>17</v>
      </c>
      <c r="CO11" s="438">
        <f t="shared" si="0"/>
        <v>18</v>
      </c>
      <c r="CP11" s="438">
        <f t="shared" si="0"/>
        <v>0</v>
      </c>
      <c r="CQ11" s="438">
        <f t="shared" si="0"/>
        <v>0</v>
      </c>
      <c r="CR11" s="438">
        <f t="shared" si="0"/>
        <v>0</v>
      </c>
      <c r="CS11" s="438">
        <f t="shared" si="8"/>
        <v>0</v>
      </c>
      <c r="CT11" s="438">
        <f t="shared" si="9"/>
        <v>0</v>
      </c>
      <c r="CU11" s="438">
        <f t="shared" si="10"/>
        <v>0</v>
      </c>
      <c r="CV11" s="438">
        <f t="shared" si="1"/>
        <v>0</v>
      </c>
      <c r="CW11" s="264">
        <f t="shared" si="11"/>
        <v>92</v>
      </c>
      <c r="CX11" s="258"/>
      <c r="CY11" s="627">
        <f>SUM([32]A06!$C$22:$C$23,[32]A06!$E$32)</f>
        <v>19</v>
      </c>
      <c r="CZ11" s="627">
        <f>SUM([33]A06!$C$22:$C$23,[33]A06!$E$32)</f>
        <v>0</v>
      </c>
      <c r="DA11" s="627">
        <f>SUM([34]A06!$C$22:$C$23,[34]A06!$E$32)</f>
        <v>23</v>
      </c>
      <c r="DB11" s="627">
        <f>SUM([35]A06!$C$22:$C$23,[35]A06!$E$32)</f>
        <v>12</v>
      </c>
      <c r="DC11" s="627">
        <f>SUM([36]A06!$C$22:$C$23,[36]A06!$E$32)</f>
        <v>17</v>
      </c>
      <c r="DG11" s="439"/>
      <c r="DH11" s="439"/>
      <c r="DI11" s="439"/>
      <c r="DJ11" s="439"/>
      <c r="DK11" s="264">
        <f t="shared" si="12"/>
        <v>71</v>
      </c>
      <c r="DM11" s="628">
        <f>SUM([32]A19a!$C$97:$C$99)</f>
        <v>0</v>
      </c>
      <c r="DN11" s="628">
        <f>SUM([33]A19a!$C$97:$C$99)</f>
        <v>0</v>
      </c>
      <c r="DO11" s="628">
        <f>SUM([34]A19a!$C$97:$C$99)</f>
        <v>0</v>
      </c>
      <c r="DP11" s="628">
        <f>SUM([35]A19a!$C$97:$C$99)</f>
        <v>0</v>
      </c>
      <c r="DQ11" s="628">
        <f>SUM([36]A19a!$C$97:$C$99)</f>
        <v>0</v>
      </c>
      <c r="DU11" s="439"/>
      <c r="DV11" s="439"/>
      <c r="DW11" s="439"/>
      <c r="DX11" s="439"/>
      <c r="DY11" s="264">
        <f t="shared" si="13"/>
        <v>0</v>
      </c>
      <c r="EA11" s="628">
        <f>SUM([32]A26!$C$30:$C$31,[32]A26!$C$38:$E$38)</f>
        <v>2</v>
      </c>
      <c r="EB11" s="628">
        <f>SUM([33]A26!$C$30:$C$31,[33]A26!$C$38:$E$38)</f>
        <v>0</v>
      </c>
      <c r="EC11" s="628">
        <f>SUM([34]A26!$C$30:$C$31,[34]A26!$C$38:$E$38)</f>
        <v>1</v>
      </c>
      <c r="ED11" s="628">
        <f>SUM([35]A26!$C$30:$C$31,[35]A26!$C$38:$E$38)</f>
        <v>3</v>
      </c>
      <c r="EE11" s="628">
        <f>SUM([36]A26!$C$30:$C$31,[36]A26!$C$38:$E$38)</f>
        <v>0</v>
      </c>
      <c r="EI11" s="439"/>
      <c r="EJ11" s="439"/>
      <c r="EK11" s="439"/>
      <c r="EL11" s="439"/>
      <c r="EM11" s="264">
        <f t="shared" si="14"/>
        <v>6</v>
      </c>
      <c r="EO11" s="628">
        <f>SUM([32]A32!$B$127:$B$129,[32]A32!$C$144,[32]A32!$C$155)</f>
        <v>0</v>
      </c>
      <c r="EP11" s="628">
        <f>SUM([33]A32!$B$127:$B$129,[33]A32!$C$144,[33]A32!$C$155)</f>
        <v>0</v>
      </c>
      <c r="EQ11" s="628">
        <f>SUM([34]A32!$B$127:$B$129,[34]A32!$C$144,[34]A32!$C$155)</f>
        <v>0</v>
      </c>
      <c r="ER11" s="628">
        <f>SUM([35]A32!$B$127:$B$129,[35]A32!$C$144,[35]A32!$C$155)</f>
        <v>0</v>
      </c>
      <c r="ES11" s="628">
        <f>SUM([36]A32!$B$127:$B$129,[36]A32!$C$144,[36]A32!$C$155)</f>
        <v>0</v>
      </c>
      <c r="EW11" s="439"/>
      <c r="EX11" s="439"/>
      <c r="EY11" s="439"/>
      <c r="EZ11" s="439"/>
      <c r="FA11" s="264">
        <f t="shared" si="15"/>
        <v>0</v>
      </c>
      <c r="FC11" s="628">
        <f>SUM([32]A04!$B$24)</f>
        <v>2</v>
      </c>
      <c r="FD11" s="628">
        <f>SUM([33]A04!$B$24)</f>
        <v>8</v>
      </c>
      <c r="FE11" s="628">
        <f>SUM([34]A04!$B$24)</f>
        <v>2</v>
      </c>
      <c r="FF11" s="628">
        <f>SUM([35]A04!$B$24)</f>
        <v>2</v>
      </c>
      <c r="FG11" s="628">
        <f>SUM([36]A04!$B$24)</f>
        <v>1</v>
      </c>
      <c r="FK11" s="439"/>
      <c r="FL11" s="439"/>
      <c r="FM11" s="439"/>
      <c r="FN11" s="439"/>
      <c r="FO11" s="264">
        <f t="shared" si="16"/>
        <v>15</v>
      </c>
    </row>
    <row r="12" spans="2:171" ht="13.5" thickBot="1" x14ac:dyDescent="0.25">
      <c r="B12" s="152">
        <v>107756</v>
      </c>
      <c r="C12" s="153" t="s">
        <v>101</v>
      </c>
      <c r="D12" s="250"/>
      <c r="E12" s="625">
        <f>SUM([38]A05!$H$114:$Y$114)</f>
        <v>6</v>
      </c>
      <c r="F12" s="625">
        <f>SUM([39]A05!$H$114:$Y$114)</f>
        <v>14</v>
      </c>
      <c r="G12" s="625">
        <f>SUM([40]A05!$H$114:$Y$114)</f>
        <v>5</v>
      </c>
      <c r="H12" s="625">
        <f>SUM([41]A05!$H$114:$Y$114)</f>
        <v>14</v>
      </c>
      <c r="I12" s="625">
        <f>SUM([42]A05!$H$114:$Y$114)</f>
        <v>12</v>
      </c>
      <c r="J12" s="276"/>
      <c r="K12" s="276"/>
      <c r="L12" s="276"/>
      <c r="M12" s="625"/>
      <c r="N12" s="625"/>
      <c r="O12" s="625"/>
      <c r="P12" s="625"/>
      <c r="Q12" s="624">
        <f t="shared" si="2"/>
        <v>51</v>
      </c>
      <c r="R12" s="258"/>
      <c r="S12" s="625">
        <f>SUM([38]A05!$H$127:$Y$127)</f>
        <v>2</v>
      </c>
      <c r="T12" s="625">
        <f>SUM([39]A05!$H$127:$Y$127)</f>
        <v>0</v>
      </c>
      <c r="U12" s="625">
        <f>SUM([40]A05!$H$127:$Y$127)</f>
        <v>0</v>
      </c>
      <c r="V12" s="625">
        <f>SUM([41]A05!$H$127:$Y$127)</f>
        <v>0</v>
      </c>
      <c r="W12" s="625">
        <f>SUM([42]A05!$H$127:$Y$127)</f>
        <v>0</v>
      </c>
      <c r="X12" s="276"/>
      <c r="Y12" s="276"/>
      <c r="Z12" s="276"/>
      <c r="AA12" s="625"/>
      <c r="AB12" s="625"/>
      <c r="AC12" s="625"/>
      <c r="AD12" s="625"/>
      <c r="AE12" s="624">
        <f t="shared" si="3"/>
        <v>2</v>
      </c>
      <c r="AF12" s="258"/>
      <c r="AG12" s="625">
        <f>[38]A05!$C$186</f>
        <v>29</v>
      </c>
      <c r="AH12" s="625">
        <f>[39]A05!$C$186</f>
        <v>9</v>
      </c>
      <c r="AI12" s="625">
        <f>[40]A05!$C$186</f>
        <v>22</v>
      </c>
      <c r="AJ12" s="625">
        <f>[41]A05!$C$186</f>
        <v>14</v>
      </c>
      <c r="AK12" s="625">
        <f>[42]A05!$C$186</f>
        <v>10</v>
      </c>
      <c r="AL12" s="276"/>
      <c r="AM12" s="276"/>
      <c r="AN12" s="276"/>
      <c r="AO12" s="625"/>
      <c r="AP12" s="625"/>
      <c r="AQ12" s="625"/>
      <c r="AR12" s="625"/>
      <c r="AS12" s="624">
        <f t="shared" si="4"/>
        <v>84</v>
      </c>
      <c r="AT12" s="258"/>
      <c r="AU12" s="615">
        <f>SUM([38]A05!$C$234,[38]A05!$AN$241,[38]A05!$AO$241,[38]A05!$AP$241)</f>
        <v>3</v>
      </c>
      <c r="AV12" s="615">
        <f>SUM([39]A05!$C$234,[39]A05!$AN$241,[39]A05!$AO$241,[39]A05!$AP$241)</f>
        <v>0</v>
      </c>
      <c r="AW12" s="615">
        <f>SUM([40]A05!$C$234,[40]A05!$AN$241,[40]A05!$AO$241,[40]A05!$AP$241)</f>
        <v>2</v>
      </c>
      <c r="AX12" s="615">
        <f>SUM([41]A05!$C$234,[41]A05!$AN$241,[41]A05!$AO$241,[41]A05!$AP$241)</f>
        <v>8</v>
      </c>
      <c r="AY12" s="615">
        <f>SUM([42]A05!$C$234,[42]A05!$AN$241,[42]A05!$AO$241,[42]A05!$AP$241)</f>
        <v>0</v>
      </c>
      <c r="AZ12" s="258"/>
      <c r="BA12" s="258"/>
      <c r="BB12" s="258"/>
      <c r="BC12" s="436"/>
      <c r="BD12" s="436"/>
      <c r="BE12" s="436"/>
      <c r="BF12" s="436"/>
      <c r="BG12" s="264">
        <f t="shared" si="5"/>
        <v>13</v>
      </c>
      <c r="BH12" s="258"/>
      <c r="BI12" s="615">
        <f>SUM([38]A09!$G$12:$AB$12)</f>
        <v>42</v>
      </c>
      <c r="BJ12" s="615">
        <f>SUM([39]A09!$G$12:$AB$12)</f>
        <v>97</v>
      </c>
      <c r="BK12" s="615">
        <f>SUM([40]A09!$G$12:$AB$12)</f>
        <v>32</v>
      </c>
      <c r="BL12" s="615">
        <f>SUM([41]A09!$G$12:$AB$12)</f>
        <v>25</v>
      </c>
      <c r="BM12" s="615">
        <f>SUM([42]A09!$G$12:$AB$12)</f>
        <v>45</v>
      </c>
      <c r="BN12" s="258"/>
      <c r="BO12" s="258"/>
      <c r="BP12" s="258"/>
      <c r="BQ12" s="436"/>
      <c r="BR12" s="436"/>
      <c r="BS12" s="436"/>
      <c r="BT12" s="436"/>
      <c r="BU12" s="264">
        <f t="shared" si="6"/>
        <v>241</v>
      </c>
      <c r="BV12" s="258"/>
      <c r="BW12" s="615">
        <f>SUM([38]A09!$G$48:$L$48)</f>
        <v>6</v>
      </c>
      <c r="BX12" s="615">
        <f>SUM([39]A09!$G$48:$L$48)</f>
        <v>6</v>
      </c>
      <c r="BY12" s="615">
        <f>SUM([40]A09!$G$48:$L$48)</f>
        <v>6</v>
      </c>
      <c r="BZ12" s="615">
        <f>SUM([41]A09!$G$48:$L$48)</f>
        <v>1</v>
      </c>
      <c r="CA12" s="615">
        <f>SUM([42]A09!$G$48:$L$48)</f>
        <v>7</v>
      </c>
      <c r="CB12" s="258"/>
      <c r="CC12" s="258"/>
      <c r="CD12" s="258"/>
      <c r="CE12" s="436"/>
      <c r="CF12" s="436"/>
      <c r="CG12" s="436"/>
      <c r="CH12" s="436"/>
      <c r="CI12" s="264">
        <f t="shared" si="7"/>
        <v>26</v>
      </c>
      <c r="CJ12" s="289"/>
      <c r="CK12" s="438">
        <f t="shared" si="0"/>
        <v>189</v>
      </c>
      <c r="CL12" s="438">
        <f t="shared" si="0"/>
        <v>67</v>
      </c>
      <c r="CM12" s="438">
        <f t="shared" si="0"/>
        <v>163</v>
      </c>
      <c r="CN12" s="438">
        <f t="shared" si="0"/>
        <v>181</v>
      </c>
      <c r="CO12" s="438">
        <f t="shared" si="0"/>
        <v>150</v>
      </c>
      <c r="CP12" s="438">
        <f t="shared" si="0"/>
        <v>0</v>
      </c>
      <c r="CQ12" s="438">
        <f t="shared" si="0"/>
        <v>0</v>
      </c>
      <c r="CR12" s="438">
        <f t="shared" si="0"/>
        <v>0</v>
      </c>
      <c r="CS12" s="438">
        <f t="shared" si="8"/>
        <v>0</v>
      </c>
      <c r="CT12" s="438">
        <f t="shared" si="9"/>
        <v>0</v>
      </c>
      <c r="CU12" s="438">
        <f t="shared" si="10"/>
        <v>0</v>
      </c>
      <c r="CV12" s="438">
        <f t="shared" si="1"/>
        <v>0</v>
      </c>
      <c r="CW12" s="264">
        <f t="shared" si="11"/>
        <v>750</v>
      </c>
      <c r="CX12" s="258"/>
      <c r="CY12" s="627">
        <f>SUM([38]A06!$C$22:$C$23,[38]A06!$E$32)</f>
        <v>169</v>
      </c>
      <c r="CZ12" s="627">
        <f>SUM([39]A06!$C$22:$C$23,[39]A06!$E$32)</f>
        <v>54</v>
      </c>
      <c r="DA12" s="627">
        <f>SUM([40]A06!$C$22:$C$23,[40]A06!$E$32)</f>
        <v>159</v>
      </c>
      <c r="DB12" s="627">
        <f>SUM([41]A06!$C$22:$C$23,[41]A06!$E$32)</f>
        <v>170</v>
      </c>
      <c r="DC12" s="627">
        <f>SUM([42]A06!$C$22:$C$23,[42]A06!$E$32)</f>
        <v>138</v>
      </c>
      <c r="DG12" s="439"/>
      <c r="DH12" s="439"/>
      <c r="DI12" s="439"/>
      <c r="DJ12" s="439"/>
      <c r="DK12" s="264">
        <f t="shared" si="12"/>
        <v>690</v>
      </c>
      <c r="DM12" s="628">
        <f>SUM([38]A19a!$C$97:$C$99)</f>
        <v>0</v>
      </c>
      <c r="DN12" s="628">
        <f>SUM([39]A19a!$C$97:$C$99)</f>
        <v>0</v>
      </c>
      <c r="DO12" s="628">
        <f>SUM([40]A19a!$C$97:$C$99)</f>
        <v>0</v>
      </c>
      <c r="DP12" s="628">
        <f>SUM([41]A19a!$C$97:$C$99)</f>
        <v>0</v>
      </c>
      <c r="DQ12" s="628">
        <f>SUM([42]A19a!$C$97:$C$99)</f>
        <v>0</v>
      </c>
      <c r="DU12" s="439"/>
      <c r="DV12" s="439"/>
      <c r="DW12" s="439"/>
      <c r="DX12" s="439"/>
      <c r="DY12" s="264">
        <f t="shared" si="13"/>
        <v>0</v>
      </c>
      <c r="EA12" s="628">
        <f>SUM([38]A26!$C$30:$C$31,[38]A26!$C$38:$E$38)</f>
        <v>20</v>
      </c>
      <c r="EB12" s="628">
        <f>SUM([39]A26!$C$30:$C$31,[39]A26!$C$38:$E$38)</f>
        <v>13</v>
      </c>
      <c r="EC12" s="628">
        <f>SUM([40]A26!$C$30:$C$31,[40]A26!$C$38:$E$38)</f>
        <v>4</v>
      </c>
      <c r="ED12" s="628">
        <f>SUM([41]A26!$C$30:$C$31,[41]A26!$C$38:$E$38)</f>
        <v>11</v>
      </c>
      <c r="EE12" s="628">
        <f>SUM([42]A26!$C$30:$C$31,[42]A26!$C$38:$E$38)</f>
        <v>12</v>
      </c>
      <c r="EI12" s="439"/>
      <c r="EJ12" s="439"/>
      <c r="EK12" s="439"/>
      <c r="EL12" s="439"/>
      <c r="EM12" s="264">
        <f t="shared" si="14"/>
        <v>60</v>
      </c>
      <c r="EO12" s="628">
        <f>SUM([38]A32!$B$127:$B$129,[38]A32!$C$144,[38]A32!$C$155)</f>
        <v>0</v>
      </c>
      <c r="EP12" s="628">
        <f>SUM([39]A32!$B$127:$B$129,[39]A32!$C$144,[39]A32!$C$155)</f>
        <v>0</v>
      </c>
      <c r="EQ12" s="628">
        <f>SUM([40]A32!$B$127:$B$129,[40]A32!$C$144,[40]A32!$C$155)</f>
        <v>0</v>
      </c>
      <c r="ER12" s="628">
        <f>SUM([41]A32!$B$127:$B$129,[41]A32!$C$144,[41]A32!$C$155)</f>
        <v>0</v>
      </c>
      <c r="ES12" s="628">
        <f>SUM([42]A32!$B$127:$B$129,[42]A32!$C$144,[42]A32!$C$155)</f>
        <v>0</v>
      </c>
      <c r="EW12" s="439"/>
      <c r="EX12" s="439"/>
      <c r="EY12" s="439"/>
      <c r="EZ12" s="439"/>
      <c r="FA12" s="264">
        <f t="shared" si="15"/>
        <v>0</v>
      </c>
      <c r="FC12" s="628">
        <f>SUM([38]A04!$B$24)</f>
        <v>0</v>
      </c>
      <c r="FD12" s="628">
        <f>SUM([39]A04!$B$24)</f>
        <v>0</v>
      </c>
      <c r="FE12" s="628">
        <f>SUM([40]A04!$B$24)</f>
        <v>0</v>
      </c>
      <c r="FF12" s="628">
        <f>SUM([41]A04!$B$24)</f>
        <v>0</v>
      </c>
      <c r="FG12" s="628">
        <f>SUM([42]A04!$B$24)</f>
        <v>0</v>
      </c>
      <c r="FK12" s="439"/>
      <c r="FL12" s="439"/>
      <c r="FM12" s="439"/>
      <c r="FN12" s="439"/>
      <c r="FO12" s="264">
        <f t="shared" si="16"/>
        <v>0</v>
      </c>
    </row>
    <row r="13" spans="2:171" ht="13.5" thickBot="1" x14ac:dyDescent="0.25">
      <c r="B13" s="300"/>
      <c r="C13" s="301" t="s">
        <v>202</v>
      </c>
      <c r="E13" s="271">
        <f>SUM(E6:E12)</f>
        <v>153</v>
      </c>
      <c r="F13" s="271">
        <f t="shared" ref="F13:P13" si="18">SUM(F6:F12)</f>
        <v>85</v>
      </c>
      <c r="G13" s="271">
        <f t="shared" si="18"/>
        <v>115</v>
      </c>
      <c r="H13" s="271">
        <f t="shared" si="18"/>
        <v>129</v>
      </c>
      <c r="I13" s="271">
        <f t="shared" si="18"/>
        <v>115</v>
      </c>
      <c r="J13" s="271">
        <f t="shared" si="18"/>
        <v>0</v>
      </c>
      <c r="K13" s="271">
        <f t="shared" si="18"/>
        <v>0</v>
      </c>
      <c r="L13" s="271">
        <f t="shared" si="18"/>
        <v>0</v>
      </c>
      <c r="M13" s="271">
        <f t="shared" si="18"/>
        <v>0</v>
      </c>
      <c r="N13" s="271">
        <f t="shared" si="18"/>
        <v>0</v>
      </c>
      <c r="O13" s="271">
        <f t="shared" si="18"/>
        <v>0</v>
      </c>
      <c r="P13" s="271">
        <f t="shared" si="18"/>
        <v>0</v>
      </c>
      <c r="Q13" s="271">
        <f>SUM(Q6:Q12)</f>
        <v>597</v>
      </c>
      <c r="R13" s="258"/>
      <c r="S13" s="271">
        <f>SUM(S6:S12)</f>
        <v>20</v>
      </c>
      <c r="T13" s="271">
        <f t="shared" ref="T13" si="19">SUM(T6:T12)</f>
        <v>16</v>
      </c>
      <c r="U13" s="271">
        <f t="shared" ref="U13" si="20">SUM(U6:U12)</f>
        <v>1</v>
      </c>
      <c r="V13" s="271">
        <f t="shared" ref="V13" si="21">SUM(V6:V12)</f>
        <v>14</v>
      </c>
      <c r="W13" s="271">
        <f t="shared" ref="W13" si="22">SUM(W6:W12)</f>
        <v>6</v>
      </c>
      <c r="X13" s="271">
        <f t="shared" ref="X13" si="23">SUM(X6:X12)</f>
        <v>0</v>
      </c>
      <c r="Y13" s="271">
        <f t="shared" ref="Y13" si="24">SUM(Y6:Y12)</f>
        <v>0</v>
      </c>
      <c r="Z13" s="271">
        <f t="shared" ref="Z13" si="25">SUM(Z6:Z12)</f>
        <v>0</v>
      </c>
      <c r="AA13" s="271">
        <f t="shared" ref="AA13" si="26">SUM(AA6:AA12)</f>
        <v>0</v>
      </c>
      <c r="AB13" s="271">
        <f t="shared" ref="AB13" si="27">SUM(AB6:AB12)</f>
        <v>0</v>
      </c>
      <c r="AC13" s="271">
        <f t="shared" ref="AC13" si="28">SUM(AC6:AC12)</f>
        <v>0</v>
      </c>
      <c r="AD13" s="271">
        <f t="shared" ref="AD13" si="29">SUM(AD6:AD12)</f>
        <v>0</v>
      </c>
      <c r="AE13" s="271">
        <f>SUM(AE6:AE12)</f>
        <v>57</v>
      </c>
      <c r="AF13" s="258"/>
      <c r="AG13" s="271">
        <f>SUM(AG6:AG12)</f>
        <v>326</v>
      </c>
      <c r="AH13" s="271">
        <f t="shared" ref="AH13" si="30">SUM(AH6:AH12)</f>
        <v>230</v>
      </c>
      <c r="AI13" s="271">
        <f t="shared" ref="AI13" si="31">SUM(AI6:AI12)</f>
        <v>438</v>
      </c>
      <c r="AJ13" s="271">
        <f t="shared" ref="AJ13" si="32">SUM(AJ6:AJ12)</f>
        <v>340</v>
      </c>
      <c r="AK13" s="271">
        <f t="shared" ref="AK13" si="33">SUM(AK6:AK12)</f>
        <v>314</v>
      </c>
      <c r="AL13" s="271">
        <f t="shared" ref="AL13" si="34">SUM(AL6:AL12)</f>
        <v>0</v>
      </c>
      <c r="AM13" s="271">
        <f t="shared" ref="AM13" si="35">SUM(AM6:AM12)</f>
        <v>0</v>
      </c>
      <c r="AN13" s="271">
        <f t="shared" ref="AN13" si="36">SUM(AN6:AN12)</f>
        <v>0</v>
      </c>
      <c r="AO13" s="271">
        <f t="shared" ref="AO13" si="37">SUM(AO6:AO12)</f>
        <v>0</v>
      </c>
      <c r="AP13" s="271">
        <f t="shared" ref="AP13" si="38">SUM(AP6:AP12)</f>
        <v>0</v>
      </c>
      <c r="AQ13" s="271">
        <f t="shared" ref="AQ13" si="39">SUM(AQ6:AQ12)</f>
        <v>0</v>
      </c>
      <c r="AR13" s="271">
        <f t="shared" ref="AR13" si="40">SUM(AR6:AR12)</f>
        <v>0</v>
      </c>
      <c r="AS13" s="271">
        <f>SUM(AS6:AS12)</f>
        <v>1648</v>
      </c>
      <c r="AT13" s="258"/>
      <c r="AU13" s="271">
        <f>SUM(AU6:AU12)</f>
        <v>120</v>
      </c>
      <c r="AV13" s="271">
        <f t="shared" ref="AV13" si="41">SUM(AV6:AV12)</f>
        <v>67</v>
      </c>
      <c r="AW13" s="271">
        <f t="shared" ref="AW13" si="42">SUM(AW6:AW12)</f>
        <v>259</v>
      </c>
      <c r="AX13" s="271">
        <f t="shared" ref="AX13" si="43">SUM(AX6:AX12)</f>
        <v>173</v>
      </c>
      <c r="AY13" s="271">
        <f t="shared" ref="AY13" si="44">SUM(AY6:AY12)</f>
        <v>190</v>
      </c>
      <c r="AZ13" s="271">
        <f t="shared" ref="AZ13" si="45">SUM(AZ6:AZ12)</f>
        <v>0</v>
      </c>
      <c r="BA13" s="271">
        <f t="shared" ref="BA13" si="46">SUM(BA6:BA12)</f>
        <v>0</v>
      </c>
      <c r="BB13" s="271">
        <f t="shared" ref="BB13" si="47">SUM(BB6:BB12)</f>
        <v>0</v>
      </c>
      <c r="BC13" s="271">
        <f t="shared" ref="BC13" si="48">SUM(BC6:BC12)</f>
        <v>0</v>
      </c>
      <c r="BD13" s="271">
        <f t="shared" ref="BD13" si="49">SUM(BD6:BD12)</f>
        <v>0</v>
      </c>
      <c r="BE13" s="271">
        <f t="shared" ref="BE13" si="50">SUM(BE6:BE12)</f>
        <v>0</v>
      </c>
      <c r="BF13" s="271">
        <f t="shared" ref="BF13" si="51">SUM(BF6:BF12)</f>
        <v>0</v>
      </c>
      <c r="BG13" s="271">
        <f>SUM(BG6:BG12)</f>
        <v>809</v>
      </c>
      <c r="BH13" s="258"/>
      <c r="BI13" s="271">
        <f>SUM(BI6:BI12)</f>
        <v>1102</v>
      </c>
      <c r="BJ13" s="271">
        <f t="shared" ref="BJ13" si="52">SUM(BJ6:BJ12)</f>
        <v>539</v>
      </c>
      <c r="BK13" s="271">
        <f t="shared" ref="BK13" si="53">SUM(BK6:BK12)</f>
        <v>774</v>
      </c>
      <c r="BL13" s="271">
        <f t="shared" ref="BL13" si="54">SUM(BL6:BL12)</f>
        <v>772</v>
      </c>
      <c r="BM13" s="271">
        <f t="shared" ref="BM13" si="55">SUM(BM6:BM12)</f>
        <v>881</v>
      </c>
      <c r="BN13" s="271">
        <f t="shared" ref="BN13" si="56">SUM(BN6:BN12)</f>
        <v>0</v>
      </c>
      <c r="BO13" s="271">
        <f t="shared" ref="BO13" si="57">SUM(BO6:BO12)</f>
        <v>0</v>
      </c>
      <c r="BP13" s="271">
        <f t="shared" ref="BP13" si="58">SUM(BP6:BP12)</f>
        <v>0</v>
      </c>
      <c r="BQ13" s="271">
        <f t="shared" ref="BQ13" si="59">SUM(BQ6:BQ12)</f>
        <v>0</v>
      </c>
      <c r="BR13" s="271">
        <f t="shared" ref="BR13" si="60">SUM(BR6:BR12)</f>
        <v>0</v>
      </c>
      <c r="BS13" s="271">
        <f t="shared" ref="BS13" si="61">SUM(BS6:BS12)</f>
        <v>0</v>
      </c>
      <c r="BT13" s="271">
        <f t="shared" ref="BT13" si="62">SUM(BT6:BT12)</f>
        <v>0</v>
      </c>
      <c r="BU13" s="271">
        <f>SUM(BU6:BU12)</f>
        <v>4068</v>
      </c>
      <c r="BV13" s="258"/>
      <c r="BW13" s="271">
        <f>SUM(BW6:BW12)</f>
        <v>128</v>
      </c>
      <c r="BX13" s="271">
        <f t="shared" ref="BX13" si="63">SUM(BX6:BX12)</f>
        <v>105</v>
      </c>
      <c r="BY13" s="271">
        <f t="shared" ref="BY13" si="64">SUM(BY6:BY12)</f>
        <v>131</v>
      </c>
      <c r="BZ13" s="271">
        <f t="shared" ref="BZ13" si="65">SUM(BZ6:BZ12)</f>
        <v>133</v>
      </c>
      <c r="CA13" s="271">
        <f t="shared" ref="CA13" si="66">SUM(CA6:CA12)</f>
        <v>107</v>
      </c>
      <c r="CB13" s="271">
        <f t="shared" ref="CB13" si="67">SUM(CB6:CB12)</f>
        <v>0</v>
      </c>
      <c r="CC13" s="271">
        <f t="shared" ref="CC13" si="68">SUM(CC6:CC12)</f>
        <v>0</v>
      </c>
      <c r="CD13" s="271">
        <f t="shared" ref="CD13" si="69">SUM(CD6:CD12)</f>
        <v>0</v>
      </c>
      <c r="CE13" s="271">
        <f t="shared" ref="CE13" si="70">SUM(CE6:CE12)</f>
        <v>0</v>
      </c>
      <c r="CF13" s="271">
        <f t="shared" ref="CF13" si="71">SUM(CF6:CF12)</f>
        <v>0</v>
      </c>
      <c r="CG13" s="271">
        <f t="shared" ref="CG13" si="72">SUM(CG6:CG12)</f>
        <v>0</v>
      </c>
      <c r="CH13" s="271">
        <f t="shared" ref="CH13" si="73">SUM(CH6:CH12)</f>
        <v>0</v>
      </c>
      <c r="CI13" s="271">
        <f>SUM(CI6:CI12)</f>
        <v>604</v>
      </c>
      <c r="CJ13" s="289"/>
      <c r="CK13" s="271">
        <f>SUM(CK6:CK12)</f>
        <v>3412</v>
      </c>
      <c r="CL13" s="271">
        <f t="shared" ref="CL13" si="74">SUM(CL6:CL12)</f>
        <v>2531</v>
      </c>
      <c r="CM13" s="271">
        <f t="shared" ref="CM13" si="75">SUM(CM6:CM12)</f>
        <v>3499</v>
      </c>
      <c r="CN13" s="271">
        <f t="shared" ref="CN13" si="76">SUM(CN6:CN12)</f>
        <v>3522</v>
      </c>
      <c r="CO13" s="271">
        <f t="shared" ref="CO13" si="77">SUM(CO6:CO12)</f>
        <v>3528</v>
      </c>
      <c r="CP13" s="271">
        <f t="shared" ref="CP13" si="78">SUM(CP6:CP12)</f>
        <v>0</v>
      </c>
      <c r="CQ13" s="271">
        <f t="shared" ref="CQ13" si="79">SUM(CQ6:CQ12)</f>
        <v>0</v>
      </c>
      <c r="CR13" s="271">
        <f t="shared" ref="CR13" si="80">SUM(CR6:CR12)</f>
        <v>0</v>
      </c>
      <c r="CS13" s="271">
        <f t="shared" ref="CS13" si="81">SUM(CS6:CS12)</f>
        <v>0</v>
      </c>
      <c r="CT13" s="271">
        <f t="shared" ref="CT13" si="82">SUM(CT6:CT12)</f>
        <v>0</v>
      </c>
      <c r="CU13" s="271">
        <f t="shared" ref="CU13" si="83">SUM(CU6:CU12)</f>
        <v>0</v>
      </c>
      <c r="CV13" s="271">
        <f t="shared" ref="CV13" si="84">SUM(CV6:CV12)</f>
        <v>0</v>
      </c>
      <c r="CW13" s="271">
        <f>SUM(CW6:CW12)</f>
        <v>16492</v>
      </c>
      <c r="CX13" s="258"/>
      <c r="CY13" s="271">
        <f>SUM(CY6:CY12)</f>
        <v>3038</v>
      </c>
      <c r="CZ13" s="271">
        <f t="shared" ref="CZ13" si="85">SUM(CZ6:CZ12)</f>
        <v>2143</v>
      </c>
      <c r="DA13" s="271">
        <f t="shared" ref="DA13" si="86">SUM(DA6:DA12)</f>
        <v>3116</v>
      </c>
      <c r="DB13" s="271">
        <f t="shared" ref="DB13" si="87">SUM(DB6:DB12)</f>
        <v>2990</v>
      </c>
      <c r="DC13" s="271">
        <f t="shared" ref="DC13" si="88">SUM(DC6:DC12)</f>
        <v>3104</v>
      </c>
      <c r="DD13" s="271">
        <f t="shared" ref="DD13" si="89">SUM(DD6:DD12)</f>
        <v>0</v>
      </c>
      <c r="DE13" s="271">
        <f t="shared" ref="DE13" si="90">SUM(DE6:DE12)</f>
        <v>0</v>
      </c>
      <c r="DF13" s="271">
        <f t="shared" ref="DF13" si="91">SUM(DF6:DF12)</f>
        <v>0</v>
      </c>
      <c r="DG13" s="271">
        <f t="shared" ref="DG13" si="92">SUM(DG6:DG12)</f>
        <v>0</v>
      </c>
      <c r="DH13" s="271">
        <f t="shared" ref="DH13" si="93">SUM(DH6:DH12)</f>
        <v>0</v>
      </c>
      <c r="DI13" s="271">
        <f t="shared" ref="DI13" si="94">SUM(DI6:DI12)</f>
        <v>0</v>
      </c>
      <c r="DJ13" s="271">
        <f t="shared" ref="DJ13" si="95">SUM(DJ6:DJ12)</f>
        <v>0</v>
      </c>
      <c r="DK13" s="271">
        <f>SUM(DK6:DK12)</f>
        <v>14391</v>
      </c>
      <c r="DM13" s="271">
        <f>SUM(DM6:DM12)</f>
        <v>19</v>
      </c>
      <c r="DN13" s="271">
        <f t="shared" ref="DN13" si="96">SUM(DN6:DN12)</f>
        <v>8</v>
      </c>
      <c r="DO13" s="271">
        <f t="shared" ref="DO13" si="97">SUM(DO6:DO12)</f>
        <v>9</v>
      </c>
      <c r="DP13" s="271">
        <f t="shared" ref="DP13" si="98">SUM(DP6:DP12)</f>
        <v>13</v>
      </c>
      <c r="DQ13" s="271">
        <f t="shared" ref="DQ13" si="99">SUM(DQ6:DQ12)</f>
        <v>14</v>
      </c>
      <c r="DR13" s="271">
        <f t="shared" ref="DR13" si="100">SUM(DR6:DR12)</f>
        <v>0</v>
      </c>
      <c r="DS13" s="271">
        <f t="shared" ref="DS13" si="101">SUM(DS6:DS12)</f>
        <v>0</v>
      </c>
      <c r="DT13" s="271">
        <f t="shared" ref="DT13" si="102">SUM(DT6:DT12)</f>
        <v>0</v>
      </c>
      <c r="DU13" s="271">
        <f t="shared" ref="DU13" si="103">SUM(DU6:DU12)</f>
        <v>0</v>
      </c>
      <c r="DV13" s="271">
        <f t="shared" ref="DV13" si="104">SUM(DV6:DV12)</f>
        <v>0</v>
      </c>
      <c r="DW13" s="271">
        <f t="shared" ref="DW13" si="105">SUM(DW6:DW12)</f>
        <v>0</v>
      </c>
      <c r="DX13" s="271">
        <f t="shared" ref="DX13" si="106">SUM(DX6:DX12)</f>
        <v>0</v>
      </c>
      <c r="DY13" s="271">
        <f>SUM(DY6:DY12)</f>
        <v>63</v>
      </c>
      <c r="EA13" s="271">
        <f>SUM(EA6:EA12)</f>
        <v>105</v>
      </c>
      <c r="EB13" s="271">
        <f t="shared" ref="EB13" si="107">SUM(EB6:EB12)</f>
        <v>86</v>
      </c>
      <c r="EC13" s="271">
        <f t="shared" ref="EC13" si="108">SUM(EC6:EC12)</f>
        <v>50</v>
      </c>
      <c r="ED13" s="271">
        <f t="shared" ref="ED13" si="109">SUM(ED6:ED12)</f>
        <v>65</v>
      </c>
      <c r="EE13" s="271">
        <f t="shared" ref="EE13" si="110">SUM(EE6:EE12)</f>
        <v>59</v>
      </c>
      <c r="EF13" s="271">
        <f t="shared" ref="EF13" si="111">SUM(EF6:EF12)</f>
        <v>0</v>
      </c>
      <c r="EG13" s="271">
        <f t="shared" ref="EG13" si="112">SUM(EG6:EG12)</f>
        <v>0</v>
      </c>
      <c r="EH13" s="271">
        <f t="shared" ref="EH13" si="113">SUM(EH6:EH12)</f>
        <v>0</v>
      </c>
      <c r="EI13" s="271">
        <f t="shared" ref="EI13" si="114">SUM(EI6:EI12)</f>
        <v>0</v>
      </c>
      <c r="EJ13" s="271">
        <f t="shared" ref="EJ13" si="115">SUM(EJ6:EJ12)</f>
        <v>0</v>
      </c>
      <c r="EK13" s="271">
        <f t="shared" ref="EK13" si="116">SUM(EK6:EK12)</f>
        <v>0</v>
      </c>
      <c r="EL13" s="271">
        <f t="shared" ref="EL13" si="117">SUM(EL6:EL12)</f>
        <v>0</v>
      </c>
      <c r="EM13" s="271">
        <f>SUM(EM6:EM12)</f>
        <v>365</v>
      </c>
      <c r="EO13" s="271">
        <f>SUM(EO6:EO12)</f>
        <v>0</v>
      </c>
      <c r="EP13" s="271">
        <f t="shared" ref="EP13" si="118">SUM(EP6:EP12)</f>
        <v>12</v>
      </c>
      <c r="EQ13" s="271">
        <f t="shared" ref="EQ13" si="119">SUM(EQ6:EQ12)</f>
        <v>20</v>
      </c>
      <c r="ER13" s="271">
        <f t="shared" ref="ER13" si="120">SUM(ER6:ER12)</f>
        <v>27</v>
      </c>
      <c r="ES13" s="271">
        <f t="shared" ref="ES13" si="121">SUM(ES6:ES12)</f>
        <v>45</v>
      </c>
      <c r="ET13" s="271">
        <f t="shared" ref="ET13" si="122">SUM(ET6:ET12)</f>
        <v>0</v>
      </c>
      <c r="EU13" s="271">
        <f t="shared" ref="EU13" si="123">SUM(EU6:EU12)</f>
        <v>0</v>
      </c>
      <c r="EV13" s="271">
        <f t="shared" ref="EV13" si="124">SUM(EV6:EV12)</f>
        <v>0</v>
      </c>
      <c r="EW13" s="271">
        <f t="shared" ref="EW13" si="125">SUM(EW6:EW12)</f>
        <v>0</v>
      </c>
      <c r="EX13" s="271">
        <f t="shared" ref="EX13" si="126">SUM(EX6:EX12)</f>
        <v>0</v>
      </c>
      <c r="EY13" s="271">
        <f t="shared" ref="EY13" si="127">SUM(EY6:EY12)</f>
        <v>0</v>
      </c>
      <c r="EZ13" s="271">
        <f t="shared" ref="EZ13" si="128">SUM(EZ6:EZ12)</f>
        <v>0</v>
      </c>
      <c r="FA13" s="271">
        <f>SUM(FA6:FA12)</f>
        <v>104</v>
      </c>
      <c r="FC13" s="271">
        <f>SUM(FC6:FC12)</f>
        <v>250</v>
      </c>
      <c r="FD13" s="271">
        <f t="shared" ref="FD13" si="129">SUM(FD6:FD12)</f>
        <v>282</v>
      </c>
      <c r="FE13" s="271">
        <f t="shared" ref="FE13" si="130">SUM(FE6:FE12)</f>
        <v>304</v>
      </c>
      <c r="FF13" s="271">
        <f t="shared" ref="FF13" si="131">SUM(FF6:FF12)</f>
        <v>427</v>
      </c>
      <c r="FG13" s="271">
        <f t="shared" ref="FG13" si="132">SUM(FG6:FG12)</f>
        <v>306</v>
      </c>
      <c r="FH13" s="271">
        <f t="shared" ref="FH13" si="133">SUM(FH6:FH12)</f>
        <v>0</v>
      </c>
      <c r="FI13" s="271">
        <f t="shared" ref="FI13" si="134">SUM(FI6:FI12)</f>
        <v>0</v>
      </c>
      <c r="FJ13" s="271">
        <f t="shared" ref="FJ13" si="135">SUM(FJ6:FJ12)</f>
        <v>0</v>
      </c>
      <c r="FK13" s="271">
        <f t="shared" ref="FK13" si="136">SUM(FK6:FK12)</f>
        <v>0</v>
      </c>
      <c r="FL13" s="271">
        <f t="shared" ref="FL13" si="137">SUM(FL6:FL12)</f>
        <v>0</v>
      </c>
      <c r="FM13" s="271">
        <f t="shared" ref="FM13" si="138">SUM(FM6:FM12)</f>
        <v>0</v>
      </c>
      <c r="FN13" s="271">
        <f t="shared" ref="FN13" si="139">SUM(FN6:FN12)</f>
        <v>0</v>
      </c>
      <c r="FO13" s="271">
        <f>SUM(FO6:FO12)</f>
        <v>1569</v>
      </c>
    </row>
    <row r="14" spans="2:171" ht="12" x14ac:dyDescent="0.2">
      <c r="C14" s="272"/>
      <c r="D14" s="250"/>
      <c r="E14" s="273"/>
      <c r="F14" s="273"/>
      <c r="G14" s="273"/>
      <c r="H14" s="273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  <c r="DU14" s="258"/>
      <c r="DV14" s="258"/>
      <c r="DW14" s="258"/>
      <c r="DX14" s="258"/>
      <c r="DY14" s="258"/>
      <c r="DZ14" s="258"/>
      <c r="EA14" s="258"/>
      <c r="EB14" s="258"/>
      <c r="EC14" s="258"/>
      <c r="ED14" s="258"/>
      <c r="EE14" s="258"/>
      <c r="EF14" s="258"/>
      <c r="EG14" s="258"/>
      <c r="EH14" s="258"/>
      <c r="EI14" s="258"/>
      <c r="EJ14" s="258"/>
      <c r="EK14" s="258"/>
      <c r="EL14" s="258"/>
      <c r="EM14" s="258"/>
      <c r="EN14" s="258"/>
      <c r="EO14" s="258"/>
      <c r="EP14" s="258"/>
      <c r="EQ14" s="258"/>
      <c r="ER14" s="258"/>
      <c r="ES14" s="258"/>
      <c r="ET14" s="258"/>
      <c r="EU14" s="258"/>
      <c r="EV14" s="258"/>
      <c r="EW14" s="258"/>
      <c r="EX14" s="258"/>
      <c r="EY14" s="258"/>
      <c r="EZ14" s="258"/>
      <c r="FA14" s="258"/>
      <c r="FC14" s="273"/>
      <c r="FD14" s="273"/>
      <c r="FE14" s="273"/>
      <c r="FF14" s="273"/>
      <c r="FG14" s="258"/>
      <c r="FH14" s="258"/>
      <c r="FI14" s="258"/>
      <c r="FJ14" s="258"/>
      <c r="FK14" s="258"/>
      <c r="FL14" s="258"/>
      <c r="FM14" s="258"/>
      <c r="FN14" s="258"/>
      <c r="FO14" s="258"/>
    </row>
    <row r="15" spans="2:171" x14ac:dyDescent="0.2"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</row>
    <row r="16" spans="2:171" x14ac:dyDescent="0.2"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</row>
    <row r="17" spans="5:106" x14ac:dyDescent="0.2"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</row>
    <row r="18" spans="5:106" x14ac:dyDescent="0.2"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</row>
    <row r="19" spans="5:106" x14ac:dyDescent="0.2"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</row>
    <row r="20" spans="5:106" x14ac:dyDescent="0.2"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</row>
    <row r="21" spans="5:106" x14ac:dyDescent="0.2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</row>
    <row r="22" spans="5:106" x14ac:dyDescent="0.2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</row>
    <row r="23" spans="5:106" x14ac:dyDescent="0.2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</row>
    <row r="24" spans="5:106" x14ac:dyDescent="0.2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</row>
    <row r="25" spans="5:106" x14ac:dyDescent="0.2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</row>
    <row r="26" spans="5:106" x14ac:dyDescent="0.2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</row>
    <row r="27" spans="5:106" x14ac:dyDescent="0.2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</row>
    <row r="28" spans="5:106" x14ac:dyDescent="0.2"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</row>
    <row r="29" spans="5:106" x14ac:dyDescent="0.2"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</row>
    <row r="30" spans="5:106" x14ac:dyDescent="0.2"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</row>
    <row r="31" spans="5:106" x14ac:dyDescent="0.2"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</row>
    <row r="32" spans="5:106" x14ac:dyDescent="0.2"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</row>
    <row r="33" spans="5:106" x14ac:dyDescent="0.2"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</row>
    <row r="34" spans="5:106" x14ac:dyDescent="0.2"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</row>
    <row r="35" spans="5:106" x14ac:dyDescent="0.2"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</row>
    <row r="36" spans="5:106" x14ac:dyDescent="0.2"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</row>
    <row r="37" spans="5:106" x14ac:dyDescent="0.2"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</row>
    <row r="38" spans="5:106" x14ac:dyDescent="0.2"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</row>
    <row r="39" spans="5:106" x14ac:dyDescent="0.2"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</row>
    <row r="40" spans="5:106" x14ac:dyDescent="0.2"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</row>
    <row r="41" spans="5:106" x14ac:dyDescent="0.2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</row>
    <row r="42" spans="5:106" x14ac:dyDescent="0.2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</row>
    <row r="43" spans="5:106" x14ac:dyDescent="0.2"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</row>
    <row r="44" spans="5:106" x14ac:dyDescent="0.2"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</row>
    <row r="45" spans="5:106" x14ac:dyDescent="0.2"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</row>
    <row r="46" spans="5:106" x14ac:dyDescent="0.2"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</row>
    <row r="47" spans="5:106" x14ac:dyDescent="0.2"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</row>
    <row r="48" spans="5:106" x14ac:dyDescent="0.2">
      <c r="BI48" s="277"/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</row>
    <row r="49" spans="61:101" x14ac:dyDescent="0.2"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</row>
  </sheetData>
  <autoFilter ref="B5:C13" xr:uid="{00000000-0001-0000-1A00-000000000000}"/>
  <mergeCells count="18">
    <mergeCell ref="EO2:FA3"/>
    <mergeCell ref="FC2:FO3"/>
    <mergeCell ref="E2:Q2"/>
    <mergeCell ref="S2:AE2"/>
    <mergeCell ref="AG2:AS2"/>
    <mergeCell ref="AU2:BG2"/>
    <mergeCell ref="BI2:BU2"/>
    <mergeCell ref="BW2:CI2"/>
    <mergeCell ref="BW4:CI4"/>
    <mergeCell ref="CK2:CW3"/>
    <mergeCell ref="CY2:DK3"/>
    <mergeCell ref="DM2:DY3"/>
    <mergeCell ref="EA2:EM3"/>
    <mergeCell ref="E4:Q4"/>
    <mergeCell ref="S4:AE4"/>
    <mergeCell ref="AG4:AS4"/>
    <mergeCell ref="AU4:BG4"/>
    <mergeCell ref="BI4:BU4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5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L34"/>
  <sheetViews>
    <sheetView workbookViewId="0">
      <pane ySplit="2" topLeftCell="A3" activePane="bottomLeft" state="frozen"/>
      <selection activeCell="M17" sqref="M17"/>
      <selection pane="bottomLeft" activeCell="G6" sqref="G6"/>
    </sheetView>
  </sheetViews>
  <sheetFormatPr baseColWidth="10" defaultRowHeight="12.75" x14ac:dyDescent="0.2"/>
  <cols>
    <col min="1" max="1" width="5.42578125" style="250" customWidth="1"/>
    <col min="2" max="2" width="9" style="250" bestFit="1" customWidth="1"/>
    <col min="3" max="3" width="31.5703125" style="250" customWidth="1"/>
    <col min="4" max="4" width="2" style="251" customWidth="1"/>
    <col min="5" max="5" width="17.42578125" style="251" customWidth="1"/>
    <col min="6" max="6" width="14.28515625" style="251" bestFit="1" customWidth="1"/>
    <col min="7" max="9" width="16.5703125" style="250" customWidth="1"/>
    <col min="10" max="10" width="12.140625" style="250" customWidth="1"/>
    <col min="11" max="11" width="12.7109375" style="251" customWidth="1"/>
    <col min="12" max="13" width="16" style="251" customWidth="1"/>
    <col min="14" max="14" width="10.85546875" bestFit="1" customWidth="1"/>
    <col min="15" max="15" width="9.42578125" bestFit="1" customWidth="1"/>
    <col min="16" max="16" width="9" bestFit="1" customWidth="1"/>
    <col min="17" max="17" width="11.140625" bestFit="1" customWidth="1"/>
    <col min="18" max="18" width="8.140625" bestFit="1" customWidth="1"/>
    <col min="19" max="19" width="10.5703125" bestFit="1" customWidth="1"/>
    <col min="20" max="20" width="10.28515625" bestFit="1" customWidth="1"/>
    <col min="21" max="21" width="11.28515625" bestFit="1" customWidth="1"/>
    <col min="22" max="22" width="10.85546875" bestFit="1" customWidth="1"/>
    <col min="23" max="23" width="9.42578125" bestFit="1" customWidth="1"/>
    <col min="24" max="24" width="9" bestFit="1" customWidth="1"/>
    <col min="25" max="25" width="11.140625" bestFit="1" customWidth="1"/>
    <col min="26" max="26" width="8.140625" bestFit="1" customWidth="1"/>
    <col min="27" max="27" width="10.5703125" bestFit="1" customWidth="1"/>
    <col min="28" max="28" width="10.28515625" bestFit="1" customWidth="1"/>
    <col min="29" max="29" width="11.28515625" bestFit="1" customWidth="1"/>
    <col min="30" max="30" width="10.85546875" bestFit="1" customWidth="1"/>
    <col min="31" max="31" width="9.42578125" bestFit="1" customWidth="1"/>
    <col min="32" max="32" width="9" bestFit="1" customWidth="1"/>
    <col min="33" max="33" width="11.140625" bestFit="1" customWidth="1"/>
    <col min="34" max="34" width="8.140625" bestFit="1" customWidth="1"/>
    <col min="35" max="35" width="10.5703125" bestFit="1" customWidth="1"/>
    <col min="36" max="36" width="10.28515625" bestFit="1" customWidth="1"/>
    <col min="37" max="37" width="11.28515625" bestFit="1" customWidth="1"/>
    <col min="38" max="38" width="10.85546875" bestFit="1" customWidth="1"/>
  </cols>
  <sheetData>
    <row r="1" spans="2:38" ht="30.75" customHeight="1" thickBot="1" x14ac:dyDescent="0.25">
      <c r="E1" s="982" t="s">
        <v>459</v>
      </c>
      <c r="F1" s="983"/>
      <c r="G1" s="983"/>
      <c r="H1" s="983"/>
      <c r="I1" s="983"/>
      <c r="J1" s="983"/>
      <c r="K1" s="983"/>
      <c r="L1" s="983"/>
      <c r="M1" s="983"/>
      <c r="N1" s="984"/>
      <c r="O1" s="985" t="s">
        <v>460</v>
      </c>
      <c r="P1" s="986"/>
      <c r="Q1" s="986"/>
      <c r="R1" s="986"/>
      <c r="S1" s="986"/>
      <c r="T1" s="986"/>
      <c r="U1" s="986"/>
      <c r="V1" s="986"/>
      <c r="W1" s="987" t="s">
        <v>461</v>
      </c>
      <c r="X1" s="987"/>
      <c r="Y1" s="987"/>
      <c r="Z1" s="987"/>
      <c r="AA1" s="987"/>
      <c r="AB1" s="987"/>
      <c r="AC1" s="987"/>
      <c r="AD1" s="987"/>
      <c r="AE1" s="987" t="s">
        <v>462</v>
      </c>
      <c r="AF1" s="987"/>
      <c r="AG1" s="987"/>
      <c r="AH1" s="987"/>
      <c r="AI1" s="987"/>
      <c r="AJ1" s="987"/>
      <c r="AK1" s="987"/>
      <c r="AL1" s="987"/>
    </row>
    <row r="2" spans="2:38" ht="96.75" thickBot="1" x14ac:dyDescent="0.25">
      <c r="C2" s="254" t="str">
        <f>+NOMBRE!B7</f>
        <v>ENERO - MAYO 2024</v>
      </c>
      <c r="D2" s="701"/>
      <c r="E2" s="702" t="s">
        <v>490</v>
      </c>
      <c r="F2" s="703" t="s">
        <v>491</v>
      </c>
      <c r="G2" s="704" t="s">
        <v>504</v>
      </c>
      <c r="H2" s="704" t="s">
        <v>505</v>
      </c>
      <c r="I2" s="704"/>
      <c r="J2" s="704" t="s">
        <v>492</v>
      </c>
      <c r="K2" s="704" t="s">
        <v>493</v>
      </c>
      <c r="L2" s="704" t="s">
        <v>488</v>
      </c>
      <c r="M2" s="704" t="s">
        <v>494</v>
      </c>
      <c r="N2" s="705" t="s">
        <v>495</v>
      </c>
      <c r="O2" s="303" t="s">
        <v>219</v>
      </c>
      <c r="P2" s="303" t="s">
        <v>220</v>
      </c>
      <c r="Q2" s="302" t="s">
        <v>221</v>
      </c>
      <c r="R2" s="302" t="s">
        <v>222</v>
      </c>
      <c r="S2" s="302" t="s">
        <v>429</v>
      </c>
      <c r="T2" s="302" t="s">
        <v>223</v>
      </c>
      <c r="U2" s="302" t="s">
        <v>430</v>
      </c>
      <c r="V2" s="304" t="s">
        <v>431</v>
      </c>
      <c r="W2" s="302" t="s">
        <v>219</v>
      </c>
      <c r="X2" s="303" t="s">
        <v>220</v>
      </c>
      <c r="Y2" s="302" t="s">
        <v>221</v>
      </c>
      <c r="Z2" s="302" t="s">
        <v>222</v>
      </c>
      <c r="AA2" s="302" t="s">
        <v>429</v>
      </c>
      <c r="AB2" s="302" t="s">
        <v>223</v>
      </c>
      <c r="AC2" s="302" t="s">
        <v>430</v>
      </c>
      <c r="AD2" s="304" t="s">
        <v>431</v>
      </c>
      <c r="AE2" s="302" t="s">
        <v>219</v>
      </c>
      <c r="AF2" s="303" t="s">
        <v>220</v>
      </c>
      <c r="AG2" s="302" t="s">
        <v>221</v>
      </c>
      <c r="AH2" s="302" t="s">
        <v>222</v>
      </c>
      <c r="AI2" s="302" t="s">
        <v>429</v>
      </c>
      <c r="AJ2" s="302" t="s">
        <v>223</v>
      </c>
      <c r="AK2" s="302" t="s">
        <v>430</v>
      </c>
      <c r="AL2" s="304" t="s">
        <v>431</v>
      </c>
    </row>
    <row r="3" spans="2:38" ht="6" customHeight="1" thickBot="1" x14ac:dyDescent="0.25">
      <c r="E3" s="709"/>
      <c r="F3" s="710"/>
      <c r="G3" s="711"/>
      <c r="H3" s="711"/>
      <c r="I3" s="711"/>
      <c r="J3" s="711"/>
      <c r="K3" s="710"/>
      <c r="L3" s="710"/>
      <c r="M3" s="710"/>
      <c r="N3" s="712"/>
    </row>
    <row r="4" spans="2:38" ht="6" customHeight="1" x14ac:dyDescent="0.2">
      <c r="E4" s="305"/>
      <c r="F4" s="306"/>
      <c r="G4" s="306"/>
      <c r="H4" s="306"/>
      <c r="I4" s="306"/>
      <c r="J4" s="306"/>
      <c r="K4" s="306"/>
      <c r="L4" s="306"/>
      <c r="M4" s="306"/>
      <c r="N4" s="307"/>
      <c r="O4" s="706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</row>
    <row r="5" spans="2:38" x14ac:dyDescent="0.2">
      <c r="B5" s="294" t="s">
        <v>93</v>
      </c>
      <c r="C5" s="295" t="s">
        <v>94</v>
      </c>
      <c r="E5" s="630"/>
      <c r="F5" s="631"/>
      <c r="G5" s="631"/>
      <c r="H5" s="631"/>
      <c r="I5" s="631"/>
      <c r="J5" s="631"/>
      <c r="K5" s="631"/>
      <c r="L5" s="631"/>
      <c r="M5" s="631"/>
      <c r="N5" s="632"/>
      <c r="O5" s="707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</row>
    <row r="6" spans="2:38" x14ac:dyDescent="0.2">
      <c r="B6" s="310">
        <v>107307</v>
      </c>
      <c r="C6" s="151" t="s">
        <v>95</v>
      </c>
      <c r="D6" s="308"/>
      <c r="E6" s="713">
        <f>'[44]ADU-ex-mar'!$E$20</f>
        <v>5784</v>
      </c>
      <c r="F6" s="700">
        <f>'[44]ADU-ex-mar'!$E$28</f>
        <v>2707</v>
      </c>
      <c r="G6" s="276">
        <f>SUM('[44]ADU-ex-mar'!$K$11,'[44]ADU-ex-mar'!$M$1:$M$11,'[44]ADU-ex-mar'!$O$11,'[44]ADU-ex-mar'!$Q$11,'[44]ADU-ex-mar'!$S$11,'[44]ADU-ex-mar'!$U$11,'[44]ADU-ex-mar'!$W$11)</f>
        <v>763</v>
      </c>
      <c r="H6" s="276">
        <f>SUM('[44]ADU-ex-mar'!$J$11,'[44]ADU-ex-mar'!$L$11,'[44]ADU-ex-mar'!$N$11,'[44]ADU-ex-mar'!$P$11,'[44]ADU-ex-mar'!$R$11,'[44]ADU-ex-mar'!$T$11,'[44]ADU-ex-mar'!$V$11)</f>
        <v>412</v>
      </c>
      <c r="I6" s="276"/>
      <c r="J6" s="625">
        <f>'[45]Mar-ex '!$D$13</f>
        <v>2600</v>
      </c>
      <c r="K6" s="625">
        <f>SUM('[46]Marzo-ex'!$W$10:$Z$10)</f>
        <v>232</v>
      </c>
      <c r="L6" s="625">
        <f>'[47]Marzo-ex'!$F$23</f>
        <v>171</v>
      </c>
      <c r="M6" s="625">
        <f>SUM('[47]Marzo-ex'!$G$64:$M$64)</f>
        <v>100</v>
      </c>
      <c r="N6" s="714">
        <f>'[46]Marzo-ex'!$D$34</f>
        <v>655</v>
      </c>
      <c r="O6" s="708"/>
      <c r="P6" s="633"/>
      <c r="Q6" s="633"/>
      <c r="R6" s="634"/>
      <c r="S6" s="634"/>
      <c r="T6" s="633"/>
      <c r="U6" s="633"/>
      <c r="V6" s="633"/>
      <c r="W6" s="633"/>
      <c r="X6" s="633"/>
      <c r="Y6" s="633"/>
      <c r="Z6" s="635"/>
      <c r="AA6" s="634"/>
      <c r="AB6" s="633"/>
      <c r="AC6" s="633"/>
      <c r="AD6" s="633"/>
      <c r="AE6" s="633"/>
      <c r="AF6" s="633"/>
      <c r="AG6" s="633"/>
      <c r="AH6" s="635"/>
      <c r="AI6" s="634"/>
      <c r="AJ6" s="633"/>
      <c r="AK6" s="633"/>
      <c r="AL6" s="633"/>
    </row>
    <row r="7" spans="2:38" x14ac:dyDescent="0.2">
      <c r="B7" s="310">
        <v>107308</v>
      </c>
      <c r="C7" s="151" t="s">
        <v>96</v>
      </c>
      <c r="D7" s="308"/>
      <c r="E7" s="713">
        <f>'[48]ADU-ex-mar'!$E$20</f>
        <v>3504</v>
      </c>
      <c r="F7" s="700">
        <f>'[48]ADU-ex-mar'!$E$28</f>
        <v>1664</v>
      </c>
      <c r="G7" s="276">
        <f>SUM('[48]ADU-ex-mar'!$K$11,'[48]ADU-ex-mar'!$M$1:$M$11,'[48]ADU-ex-mar'!$O$11,'[48]ADU-ex-mar'!$Q$11,'[48]ADU-ex-mar'!$S$11,'[48]ADU-ex-mar'!$U$11,'[48]ADU-ex-mar'!$W$11)</f>
        <v>500</v>
      </c>
      <c r="H7" s="276">
        <f>SUM('[48]ADU-ex-mar'!$J$11,'[48]ADU-ex-mar'!$L$11,'[48]ADU-ex-mar'!$N$11,'[48]ADU-ex-mar'!$P$11,'[48]ADU-ex-mar'!$R$11,'[48]ADU-ex-mar'!$T$11,'[48]ADU-ex-mar'!$V$11)</f>
        <v>226</v>
      </c>
      <c r="I7" s="276"/>
      <c r="J7" s="625">
        <f>'[49]Mar-ex '!$D$13</f>
        <v>1309</v>
      </c>
      <c r="K7" s="625">
        <f>SUM('[50]Marzo-ex'!$W$10:$Z$10)</f>
        <v>200</v>
      </c>
      <c r="L7" s="625">
        <f>'[51]Marzo-ex'!$F$23</f>
        <v>449</v>
      </c>
      <c r="M7" s="625">
        <f>SUM('[51]Marzo-ex'!$G$64:$M$64)</f>
        <v>89</v>
      </c>
      <c r="N7" s="714">
        <f>'[50]Marzo-ex'!$D$34</f>
        <v>603</v>
      </c>
      <c r="O7" s="708"/>
      <c r="P7" s="633"/>
      <c r="Q7" s="633"/>
      <c r="R7" s="634"/>
      <c r="S7" s="634"/>
      <c r="T7" s="633"/>
      <c r="U7" s="633"/>
      <c r="V7" s="633"/>
      <c r="W7" s="633"/>
      <c r="X7" s="633"/>
      <c r="Y7" s="633"/>
      <c r="Z7" s="635"/>
      <c r="AA7" s="634"/>
      <c r="AB7" s="633"/>
      <c r="AC7" s="633"/>
      <c r="AD7" s="633"/>
      <c r="AE7" s="633"/>
      <c r="AF7" s="633"/>
      <c r="AG7" s="633"/>
      <c r="AH7" s="635"/>
      <c r="AI7" s="634"/>
      <c r="AJ7" s="633"/>
      <c r="AK7" s="633"/>
      <c r="AL7" s="633"/>
    </row>
    <row r="8" spans="2:38" x14ac:dyDescent="0.2">
      <c r="B8" s="310">
        <v>107353</v>
      </c>
      <c r="C8" s="151" t="s">
        <v>97</v>
      </c>
      <c r="D8" s="308"/>
      <c r="E8" s="713">
        <f>'[52]ADU-ex-mar'!$E$20</f>
        <v>1891</v>
      </c>
      <c r="F8" s="700">
        <f>'[52]ADU-ex-mar'!$E$28</f>
        <v>772</v>
      </c>
      <c r="G8" s="276">
        <f>SUM('[52]ADU-ex-mar'!$K$11,'[52]ADU-ex-mar'!$M$1:$M$11,'[52]ADU-ex-mar'!$O$11,'[52]ADU-ex-mar'!$Q$11,'[52]ADU-ex-mar'!$S$11,'[52]ADU-ex-mar'!$U$11,'[52]ADU-ex-mar'!$W$11)</f>
        <v>304</v>
      </c>
      <c r="H8" s="276">
        <f>SUM('[52]ADU-ex-mar'!$J$11,'[52]ADU-ex-mar'!$L$11,'[52]ADU-ex-mar'!$N$11,'[52]ADU-ex-mar'!$P$11,'[52]ADU-ex-mar'!$R$11,'[52]ADU-ex-mar'!$T$11,'[52]ADU-ex-mar'!$V$11)</f>
        <v>147</v>
      </c>
      <c r="I8" s="276"/>
      <c r="J8" s="625">
        <f>'[53]Mar-ex '!$D$13</f>
        <v>848</v>
      </c>
      <c r="K8" s="625">
        <f>SUM('[54]Marzo-ex'!$W$10:$Z$10)</f>
        <v>145</v>
      </c>
      <c r="L8" s="625">
        <f>'[55]Marzo-ex'!$F$23</f>
        <v>164</v>
      </c>
      <c r="M8" s="625">
        <f>SUM('[55]Marzo-ex'!$G$64:$M$64)</f>
        <v>81</v>
      </c>
      <c r="N8" s="714">
        <f>'[54]Marzo-ex'!$D$34</f>
        <v>362</v>
      </c>
      <c r="O8" s="708"/>
      <c r="P8" s="633"/>
      <c r="Q8" s="633"/>
      <c r="R8" s="634"/>
      <c r="S8" s="634"/>
      <c r="T8" s="633"/>
      <c r="U8" s="633"/>
      <c r="V8" s="633"/>
      <c r="W8" s="633"/>
      <c r="X8" s="633"/>
      <c r="Y8" s="633"/>
      <c r="Z8" s="635"/>
      <c r="AA8" s="634"/>
      <c r="AB8" s="633"/>
      <c r="AC8" s="633"/>
      <c r="AD8" s="633"/>
      <c r="AE8" s="633"/>
      <c r="AF8" s="633"/>
      <c r="AG8" s="633"/>
      <c r="AH8" s="635"/>
      <c r="AI8" s="634"/>
      <c r="AJ8" s="633"/>
      <c r="AK8" s="633"/>
      <c r="AL8" s="633"/>
    </row>
    <row r="9" spans="2:38" x14ac:dyDescent="0.2">
      <c r="B9" s="310">
        <v>107356</v>
      </c>
      <c r="C9" s="151" t="s">
        <v>98</v>
      </c>
      <c r="D9" s="308"/>
      <c r="E9" s="713">
        <f>'[56]ADU-ex-mar'!$E$20</f>
        <v>2883</v>
      </c>
      <c r="F9" s="700">
        <f>'[56]ADU-ex-mar'!$E$28</f>
        <v>1351</v>
      </c>
      <c r="G9" s="276">
        <f>SUM('[56]ADU-ex-mar'!$K$11,'[56]ADU-ex-mar'!$M$1:$M$11,'[56]ADU-ex-mar'!$O$11,'[56]ADU-ex-mar'!$Q$11,'[56]ADU-ex-mar'!$S$11,'[56]ADU-ex-mar'!$U$11,'[56]ADU-ex-mar'!$W$11)</f>
        <v>512</v>
      </c>
      <c r="H9" s="276">
        <f>SUM('[56]ADU-ex-mar'!$J$11,'[56]ADU-ex-mar'!$L$11,'[56]ADU-ex-mar'!$N$11,'[56]ADU-ex-mar'!$P$11,'[56]ADU-ex-mar'!$R$11,'[56]ADU-ex-mar'!$T$11,'[56]ADU-ex-mar'!$V$11)</f>
        <v>210</v>
      </c>
      <c r="I9" s="276"/>
      <c r="J9" s="625">
        <f>'[57]Mar-ex '!$D$13</f>
        <v>763</v>
      </c>
      <c r="K9" s="625">
        <f>SUM('[58]Marzo-ex'!$W$10:$Z$10)</f>
        <v>176</v>
      </c>
      <c r="L9" s="625">
        <f>'[59]Marzo-ex'!$F$23</f>
        <v>235</v>
      </c>
      <c r="M9" s="625">
        <f>SUM('[59]Marzo-ex'!$G$64:$M$64)</f>
        <v>81</v>
      </c>
      <c r="N9" s="714">
        <f>'[58]Marzo-ex'!$D$34</f>
        <v>498</v>
      </c>
      <c r="O9" s="708"/>
      <c r="P9" s="633"/>
      <c r="Q9" s="633"/>
      <c r="R9" s="634"/>
      <c r="S9" s="634"/>
      <c r="T9" s="633"/>
      <c r="U9" s="633"/>
      <c r="V9" s="633"/>
      <c r="W9" s="633"/>
      <c r="X9" s="633"/>
      <c r="Y9" s="633"/>
      <c r="Z9" s="635"/>
      <c r="AA9" s="634"/>
      <c r="AB9" s="633"/>
      <c r="AC9" s="633"/>
      <c r="AD9" s="633"/>
      <c r="AE9" s="633"/>
      <c r="AF9" s="633"/>
      <c r="AG9" s="633"/>
      <c r="AH9" s="635"/>
      <c r="AI9" s="634"/>
      <c r="AJ9" s="633"/>
      <c r="AK9" s="633"/>
      <c r="AL9" s="633"/>
    </row>
    <row r="10" spans="2:38" x14ac:dyDescent="0.2">
      <c r="B10" s="310">
        <v>107357</v>
      </c>
      <c r="C10" s="151" t="s">
        <v>99</v>
      </c>
      <c r="D10" s="308"/>
      <c r="E10" s="713">
        <f>'[60]ADU-ex-mar'!$E$20</f>
        <v>2779</v>
      </c>
      <c r="F10" s="700">
        <f>'[60]ADU-ex-mar'!$E$28</f>
        <v>1182</v>
      </c>
      <c r="G10" s="276">
        <f>SUM('[60]ADU-ex-mar'!$K$11,'[60]ADU-ex-mar'!$M$1:$M$11,'[60]ADU-ex-mar'!$O$11,'[60]ADU-ex-mar'!$Q$11,'[60]ADU-ex-mar'!$S$11,'[60]ADU-ex-mar'!$U$11,'[60]ADU-ex-mar'!$W$11)</f>
        <v>529</v>
      </c>
      <c r="H10" s="276">
        <f>SUM('[60]ADU-ex-mar'!$J$11,'[60]ADU-ex-mar'!$L$11,'[60]ADU-ex-mar'!$N$11,'[60]ADU-ex-mar'!$P$11,'[60]ADU-ex-mar'!$R$11,'[60]ADU-ex-mar'!$T$11,'[60]ADU-ex-mar'!$V$11)</f>
        <v>231</v>
      </c>
      <c r="I10" s="276"/>
      <c r="J10" s="625">
        <f>'[61]Mar-ex '!$D$13</f>
        <v>1732</v>
      </c>
      <c r="K10" s="625">
        <f>SUM('[62]Marzo-ex'!$W$10:$Z$10)</f>
        <v>172</v>
      </c>
      <c r="L10" s="625">
        <f>'[63]Marzo-ex'!$F$23</f>
        <v>489</v>
      </c>
      <c r="M10" s="625">
        <f>SUM('[63]Marzo-ex'!$G$64:$M$64)</f>
        <v>80</v>
      </c>
      <c r="N10" s="714">
        <f>'[62]Marzo-ex'!$D$34</f>
        <v>508</v>
      </c>
      <c r="O10" s="708"/>
      <c r="P10" s="633"/>
      <c r="Q10" s="633"/>
      <c r="R10" s="634"/>
      <c r="S10" s="634"/>
      <c r="T10" s="633"/>
      <c r="U10" s="633"/>
      <c r="V10" s="633"/>
      <c r="W10" s="633"/>
      <c r="X10" s="633"/>
      <c r="Y10" s="633"/>
      <c r="Z10" s="635"/>
      <c r="AA10" s="634"/>
      <c r="AB10" s="633"/>
      <c r="AC10" s="633"/>
      <c r="AD10" s="633"/>
      <c r="AE10" s="633"/>
      <c r="AF10" s="633"/>
      <c r="AG10" s="633"/>
      <c r="AH10" s="635"/>
      <c r="AI10" s="634"/>
      <c r="AJ10" s="633"/>
      <c r="AK10" s="633"/>
      <c r="AL10" s="633"/>
    </row>
    <row r="11" spans="2:38" x14ac:dyDescent="0.2">
      <c r="B11" s="310">
        <v>107400</v>
      </c>
      <c r="C11" s="151" t="s">
        <v>100</v>
      </c>
      <c r="D11" s="308"/>
      <c r="E11" s="713">
        <f>'[64]ADU-ex-mar'!$E$20</f>
        <v>136</v>
      </c>
      <c r="F11" s="700">
        <f>'[64]ADU-ex-mar'!$E$28</f>
        <v>47</v>
      </c>
      <c r="G11" s="276">
        <f>SUM('[64]ADU-ex-mar'!$K$11,'[64]ADU-ex-mar'!$M$1:$M$11,'[64]ADU-ex-mar'!$O$11,'[64]ADU-ex-mar'!$Q$11,'[64]ADU-ex-mar'!$S$11,'[64]ADU-ex-mar'!$U$11,'[64]ADU-ex-mar'!$W$11)</f>
        <v>15</v>
      </c>
      <c r="H11" s="276">
        <f>SUM('[64]ADU-ex-mar'!$J$11,'[64]ADU-ex-mar'!$L$11,'[64]ADU-ex-mar'!$N$11,'[64]ADU-ex-mar'!$P$11,'[64]ADU-ex-mar'!$R$11,'[64]ADU-ex-mar'!$T$11,'[64]ADU-ex-mar'!$V$11)</f>
        <v>5</v>
      </c>
      <c r="I11" s="276"/>
      <c r="J11" s="625">
        <f>'[65]Mar-ex '!$D$13</f>
        <v>26</v>
      </c>
      <c r="K11" s="625">
        <f>SUM('[66]Marzo-ex'!$W$10:$Z$10)</f>
        <v>2</v>
      </c>
      <c r="L11" s="625">
        <f>'[67]Marzo-ex'!$F$23</f>
        <v>0</v>
      </c>
      <c r="M11" s="625">
        <f>SUM('[67]Marzo-ex'!$G$64:$M$64)</f>
        <v>1</v>
      </c>
      <c r="N11" s="714">
        <f>'[66]Marzo-ex'!$D$34</f>
        <v>9</v>
      </c>
      <c r="O11" s="708"/>
      <c r="P11" s="633"/>
      <c r="Q11" s="633"/>
      <c r="R11" s="634"/>
      <c r="S11" s="634"/>
      <c r="T11" s="633"/>
      <c r="U11" s="633"/>
      <c r="V11" s="633"/>
      <c r="W11" s="633"/>
      <c r="X11" s="633"/>
      <c r="Y11" s="633"/>
      <c r="Z11" s="635"/>
      <c r="AA11" s="634"/>
      <c r="AB11" s="633"/>
      <c r="AC11" s="633"/>
      <c r="AD11" s="633"/>
      <c r="AE11" s="633"/>
      <c r="AF11" s="633"/>
      <c r="AG11" s="633"/>
      <c r="AH11" s="635"/>
      <c r="AI11" s="634"/>
      <c r="AJ11" s="633"/>
      <c r="AK11" s="633"/>
      <c r="AL11" s="633"/>
    </row>
    <row r="12" spans="2:38" x14ac:dyDescent="0.2">
      <c r="B12" s="309">
        <v>107756</v>
      </c>
      <c r="C12" s="153" t="s">
        <v>101</v>
      </c>
      <c r="D12" s="308"/>
      <c r="E12" s="713">
        <f>'[68]ADU-ex-mar'!$E$20</f>
        <v>830</v>
      </c>
      <c r="F12" s="700">
        <f>'[68]ADU-ex-mar'!$E$28</f>
        <v>414</v>
      </c>
      <c r="G12" s="276">
        <f>SUM('[68]ADU-ex-mar'!$K$11,'[68]ADU-ex-mar'!$M$1:$M$11,'[68]ADU-ex-mar'!$O$11,'[68]ADU-ex-mar'!$Q$11,'[68]ADU-ex-mar'!$S$11,'[68]ADU-ex-mar'!$U$11,'[68]ADU-ex-mar'!$W$11)</f>
        <v>110</v>
      </c>
      <c r="H12" s="276">
        <f>SUM('[68]ADU-ex-mar'!$J$11,'[68]ADU-ex-mar'!$L$11,'[68]ADU-ex-mar'!$N$11,'[68]ADU-ex-mar'!$P$11,'[68]ADU-ex-mar'!$R$11,'[68]ADU-ex-mar'!$T$11,'[68]ADU-ex-mar'!$V$11)</f>
        <v>61</v>
      </c>
      <c r="I12" s="276"/>
      <c r="J12" s="625">
        <f>'[69]Mar-ex '!$D$13</f>
        <v>427</v>
      </c>
      <c r="K12" s="625">
        <f>SUM('[70]Marzo-ex'!$W$10:$Z$10)</f>
        <v>48</v>
      </c>
      <c r="L12" s="625">
        <f>'[71]Marzo-ex'!$F$23</f>
        <v>115</v>
      </c>
      <c r="M12" s="625">
        <f>SUM('[71]Marzo-ex'!$G$64:$M$64)</f>
        <v>24</v>
      </c>
      <c r="N12" s="714">
        <f>'[70]Marzo-ex'!$D$34</f>
        <v>131</v>
      </c>
      <c r="O12" s="708"/>
      <c r="P12" s="633"/>
      <c r="Q12" s="633"/>
      <c r="R12" s="634"/>
      <c r="S12" s="634"/>
      <c r="T12" s="633"/>
      <c r="U12" s="633"/>
      <c r="V12" s="633"/>
      <c r="W12" s="633"/>
      <c r="X12" s="633"/>
      <c r="Y12" s="633"/>
      <c r="Z12" s="635"/>
      <c r="AA12" s="634"/>
      <c r="AB12" s="633"/>
      <c r="AC12" s="633"/>
      <c r="AD12" s="633"/>
      <c r="AE12" s="633"/>
      <c r="AF12" s="633"/>
      <c r="AG12" s="633"/>
      <c r="AH12" s="635"/>
      <c r="AI12" s="634"/>
      <c r="AJ12" s="633"/>
      <c r="AK12" s="633"/>
      <c r="AL12" s="633"/>
    </row>
    <row r="13" spans="2:38" x14ac:dyDescent="0.2">
      <c r="D13" s="250"/>
      <c r="E13" s="258"/>
      <c r="F13" s="258"/>
      <c r="G13" s="258"/>
      <c r="H13" s="258"/>
      <c r="I13" s="258"/>
      <c r="J13" s="258"/>
      <c r="K13" s="258"/>
      <c r="L13" s="258"/>
      <c r="M13" s="258"/>
      <c r="N13" s="258"/>
    </row>
    <row r="14" spans="2:38" x14ac:dyDescent="0.2">
      <c r="D14" s="250"/>
      <c r="E14" s="258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2:38" x14ac:dyDescent="0.2">
      <c r="D15" s="250"/>
      <c r="E15" s="258"/>
      <c r="F15" s="258"/>
      <c r="G15" s="258"/>
      <c r="H15" s="258"/>
      <c r="I15" s="258"/>
      <c r="J15" s="258"/>
      <c r="K15" s="258"/>
      <c r="L15" s="258"/>
      <c r="M15" s="258"/>
      <c r="N15" s="258"/>
    </row>
    <row r="16" spans="2:38" x14ac:dyDescent="0.2">
      <c r="D16" s="250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4:22" x14ac:dyDescent="0.2">
      <c r="D17" s="250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</row>
    <row r="18" spans="4:22" x14ac:dyDescent="0.2">
      <c r="D18" s="250"/>
      <c r="E18" s="258"/>
      <c r="F18" s="258"/>
      <c r="G18" s="258"/>
      <c r="H18" s="258"/>
      <c r="I18" s="258"/>
      <c r="J18" s="258"/>
      <c r="K18" s="258"/>
      <c r="L18" s="258"/>
      <c r="M18" s="258"/>
      <c r="N18" s="258"/>
    </row>
    <row r="19" spans="4:22" x14ac:dyDescent="0.2">
      <c r="D19" s="250"/>
      <c r="E19" s="258"/>
      <c r="F19" s="258"/>
      <c r="G19" s="258"/>
      <c r="H19" s="258"/>
      <c r="I19" s="258"/>
      <c r="J19" s="258"/>
      <c r="K19" s="258"/>
      <c r="L19" s="258"/>
      <c r="M19" s="258"/>
      <c r="N19" s="258"/>
    </row>
    <row r="20" spans="4:22" x14ac:dyDescent="0.2">
      <c r="E20" s="258"/>
      <c r="F20" s="258"/>
      <c r="G20" s="258"/>
      <c r="H20" s="258"/>
      <c r="I20" s="258"/>
      <c r="J20" s="258"/>
      <c r="K20" s="258"/>
      <c r="L20" s="258"/>
      <c r="M20" s="258"/>
      <c r="N20" s="258"/>
    </row>
    <row r="21" spans="4:22" x14ac:dyDescent="0.2">
      <c r="E21" s="258"/>
      <c r="F21" s="258"/>
      <c r="G21" s="258"/>
      <c r="H21" s="258"/>
      <c r="I21" s="258"/>
      <c r="J21" s="258" t="s">
        <v>489</v>
      </c>
      <c r="K21" s="258"/>
      <c r="L21" s="258"/>
      <c r="M21" s="258"/>
      <c r="N21" s="258"/>
    </row>
    <row r="22" spans="4:22" x14ac:dyDescent="0.2">
      <c r="E22" s="258"/>
      <c r="F22" s="258"/>
      <c r="G22" s="258"/>
      <c r="H22" s="258"/>
      <c r="I22" s="258"/>
      <c r="J22" s="258"/>
      <c r="K22" s="258"/>
      <c r="L22" s="258"/>
      <c r="M22" s="258"/>
      <c r="N22" s="258"/>
    </row>
    <row r="23" spans="4:22" x14ac:dyDescent="0.2">
      <c r="E23" s="258"/>
      <c r="F23" s="258"/>
      <c r="G23" s="258"/>
      <c r="H23" s="258"/>
      <c r="I23" s="258"/>
      <c r="J23" s="258"/>
      <c r="K23" s="258"/>
      <c r="L23" s="258"/>
      <c r="M23" s="258"/>
      <c r="N23" s="258"/>
    </row>
    <row r="24" spans="4:22" x14ac:dyDescent="0.2">
      <c r="E24" s="258"/>
      <c r="F24" s="258"/>
      <c r="G24" s="258"/>
      <c r="H24" s="258"/>
      <c r="I24" s="258"/>
      <c r="J24" s="258"/>
      <c r="K24" s="258"/>
      <c r="L24" s="258"/>
      <c r="M24" s="258"/>
      <c r="N24" s="258"/>
    </row>
    <row r="25" spans="4:22" x14ac:dyDescent="0.2">
      <c r="E25" s="258"/>
      <c r="F25" s="258"/>
      <c r="G25" s="258"/>
      <c r="H25" s="258"/>
      <c r="I25" s="258"/>
      <c r="J25" s="258"/>
      <c r="K25" s="258"/>
      <c r="L25" s="258"/>
      <c r="M25" s="258"/>
      <c r="N25" s="258"/>
    </row>
    <row r="26" spans="4:22" x14ac:dyDescent="0.2">
      <c r="E26" s="258"/>
      <c r="F26" s="258"/>
      <c r="G26" s="258"/>
      <c r="H26" s="258"/>
      <c r="I26" s="258"/>
      <c r="J26" s="258"/>
      <c r="K26" s="258"/>
      <c r="L26" s="258"/>
      <c r="M26" s="258"/>
      <c r="N26" s="258"/>
    </row>
    <row r="27" spans="4:22" x14ac:dyDescent="0.2">
      <c r="E27" s="258"/>
      <c r="F27" s="258"/>
      <c r="G27" s="258"/>
      <c r="H27" s="258"/>
      <c r="I27" s="258"/>
      <c r="J27" s="258"/>
      <c r="K27" s="258"/>
      <c r="L27" s="258"/>
      <c r="M27" s="258"/>
      <c r="N27" s="258"/>
    </row>
    <row r="28" spans="4:22" x14ac:dyDescent="0.2">
      <c r="E28" s="258"/>
      <c r="F28" s="258"/>
      <c r="G28" s="258"/>
      <c r="H28" s="258"/>
      <c r="I28" s="258"/>
      <c r="J28" s="258"/>
      <c r="K28" s="258"/>
      <c r="L28" s="258"/>
      <c r="M28" s="258"/>
      <c r="N28" s="258"/>
    </row>
    <row r="29" spans="4:22" x14ac:dyDescent="0.2">
      <c r="E29" s="258"/>
      <c r="F29" s="258"/>
      <c r="G29" s="258"/>
      <c r="H29" s="258"/>
      <c r="I29" s="258"/>
      <c r="J29" s="258"/>
      <c r="K29" s="258"/>
      <c r="L29" s="258"/>
      <c r="M29" s="258"/>
      <c r="N29" s="258"/>
    </row>
    <row r="30" spans="4:22" x14ac:dyDescent="0.2">
      <c r="E30" s="258"/>
      <c r="F30" s="258"/>
      <c r="G30" s="258"/>
      <c r="H30" s="258"/>
      <c r="I30" s="258"/>
      <c r="J30" s="258"/>
      <c r="K30" s="258"/>
      <c r="L30" s="258"/>
      <c r="M30" s="258"/>
      <c r="N30" s="258"/>
    </row>
    <row r="31" spans="4:22" x14ac:dyDescent="0.2">
      <c r="E31" s="258"/>
      <c r="F31" s="258"/>
      <c r="G31" s="258"/>
      <c r="H31" s="258"/>
      <c r="I31" s="258"/>
      <c r="J31" s="258"/>
      <c r="K31" s="258"/>
      <c r="L31" s="258"/>
      <c r="M31" s="258"/>
      <c r="N31" s="258"/>
    </row>
    <row r="32" spans="4:22" x14ac:dyDescent="0.2">
      <c r="E32" s="258"/>
      <c r="F32" s="258"/>
      <c r="G32" s="258"/>
      <c r="H32" s="258"/>
      <c r="I32" s="258"/>
      <c r="J32" s="258"/>
      <c r="K32" s="258"/>
      <c r="L32" s="258"/>
      <c r="M32" s="258"/>
      <c r="N32" s="258"/>
    </row>
    <row r="33" spans="5:13" x14ac:dyDescent="0.2">
      <c r="E33" s="257"/>
      <c r="F33" s="257"/>
      <c r="G33" s="257"/>
      <c r="H33" s="257"/>
      <c r="I33" s="257"/>
      <c r="J33" s="257"/>
      <c r="K33" s="257"/>
      <c r="L33" s="257"/>
      <c r="M33" s="257"/>
    </row>
    <row r="34" spans="5:13" x14ac:dyDescent="0.2">
      <c r="E34" s="257"/>
      <c r="F34" s="257"/>
      <c r="G34" s="257"/>
      <c r="H34" s="257"/>
      <c r="I34" s="257"/>
      <c r="J34" s="257"/>
      <c r="K34" s="257"/>
      <c r="L34" s="257"/>
      <c r="M34" s="257"/>
    </row>
  </sheetData>
  <autoFilter ref="B5:C12" xr:uid="{00000000-0001-0000-1B00-000000000000}"/>
  <mergeCells count="4">
    <mergeCell ref="E1:N1"/>
    <mergeCell ref="O1:V1"/>
    <mergeCell ref="W1:AD1"/>
    <mergeCell ref="AE1:AL1"/>
  </mergeCells>
  <dataValidations disablePrompts="1" count="1">
    <dataValidation allowBlank="1" showInputMessage="1" errorTitle="Error de ingreso" error="Debe ingresar sólo números enteros positivos." sqref="N2 V2 AD2 AL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D6" activePane="bottomRight" state="frozen"/>
      <selection activeCell="M17" sqref="M17"/>
      <selection pane="topRight" activeCell="M17" sqref="M17"/>
      <selection pane="bottomLeft" activeCell="M17" sqref="M17"/>
      <selection pane="bottomRight" activeCell="Q7" sqref="Q7"/>
    </sheetView>
  </sheetViews>
  <sheetFormatPr baseColWidth="10" defaultColWidth="11.42578125" defaultRowHeight="12.75" x14ac:dyDescent="0.2"/>
  <cols>
    <col min="1" max="1" width="2.140625" style="311" customWidth="1"/>
    <col min="2" max="2" width="1.7109375" style="311" customWidth="1"/>
    <col min="3" max="3" width="29.42578125" style="311" bestFit="1" customWidth="1"/>
    <col min="4" max="4" width="3.140625" style="311" customWidth="1"/>
    <col min="5" max="5" width="12.7109375" style="311" customWidth="1"/>
    <col min="6" max="6" width="2.28515625" style="311" bestFit="1" customWidth="1"/>
    <col min="7" max="7" width="11.140625" style="311" bestFit="1" customWidth="1"/>
    <col min="8" max="8" width="2.28515625" style="311" bestFit="1" customWidth="1"/>
    <col min="9" max="9" width="14.7109375" style="311" customWidth="1"/>
    <col min="10" max="10" width="19" style="311" customWidth="1"/>
    <col min="11" max="11" width="11.85546875" style="311" bestFit="1" customWidth="1"/>
    <col min="12" max="16" width="16.140625" style="311" customWidth="1"/>
    <col min="17" max="17" width="14.7109375" style="311" customWidth="1"/>
    <col min="18" max="18" width="1.28515625" style="311" customWidth="1"/>
    <col min="19" max="19" width="13.140625" style="311" customWidth="1"/>
    <col min="20" max="21" width="12.42578125" style="311" customWidth="1"/>
    <col min="22" max="22" width="1.42578125" style="311" customWidth="1"/>
    <col min="23" max="23" width="9.85546875" style="311" customWidth="1"/>
    <col min="24" max="24" width="0.85546875" style="311" customWidth="1"/>
    <col min="25" max="25" width="11.85546875" style="311" customWidth="1"/>
    <col min="26" max="26" width="16.7109375" style="311" customWidth="1"/>
    <col min="27" max="27" width="0.7109375" style="311" customWidth="1"/>
    <col min="28" max="28" width="11.5703125" style="311" customWidth="1"/>
    <col min="29" max="29" width="0.85546875" style="311" customWidth="1"/>
    <col min="30" max="32" width="11.7109375" style="311" customWidth="1"/>
    <col min="33" max="33" width="11.85546875" style="311" customWidth="1"/>
    <col min="34" max="34" width="24.7109375" style="311" customWidth="1"/>
    <col min="35" max="35" width="0.7109375" style="311" customWidth="1"/>
    <col min="36" max="39" width="11.140625" style="311" customWidth="1"/>
    <col min="40" max="40" width="18.140625" style="311" customWidth="1"/>
    <col min="41" max="41" width="1" style="311" customWidth="1"/>
    <col min="42" max="42" width="18.85546875" style="311" bestFit="1" customWidth="1"/>
    <col min="43" max="43" width="0.7109375" style="311" customWidth="1"/>
    <col min="44" max="44" width="12.28515625" style="311" customWidth="1"/>
    <col min="45" max="16384" width="11.42578125" style="311"/>
  </cols>
  <sheetData>
    <row r="1" spans="3:44" ht="7.5" customHeight="1" x14ac:dyDescent="0.2"/>
    <row r="2" spans="3:44" s="312" customFormat="1" ht="18.75" x14ac:dyDescent="0.3">
      <c r="E2" s="313" t="s">
        <v>463</v>
      </c>
    </row>
    <row r="3" spans="3:44" ht="7.5" customHeight="1" thickBot="1" x14ac:dyDescent="0.25"/>
    <row r="4" spans="3:44" ht="21.75" customHeight="1" x14ac:dyDescent="0.2">
      <c r="C4" s="989" t="s">
        <v>225</v>
      </c>
      <c r="D4" s="314" t="s">
        <v>226</v>
      </c>
      <c r="E4" s="315" t="s">
        <v>227</v>
      </c>
      <c r="F4" s="316"/>
      <c r="G4" s="315" t="s">
        <v>228</v>
      </c>
      <c r="H4" s="316"/>
      <c r="I4" s="991" t="s">
        <v>502</v>
      </c>
      <c r="J4" s="992"/>
      <c r="K4" s="992"/>
      <c r="L4" s="993"/>
      <c r="M4" s="991" t="s">
        <v>503</v>
      </c>
      <c r="N4" s="992"/>
      <c r="O4" s="992"/>
      <c r="P4" s="993"/>
      <c r="Q4" s="315" t="s">
        <v>229</v>
      </c>
      <c r="R4" s="316"/>
      <c r="S4" s="994" t="s">
        <v>230</v>
      </c>
      <c r="T4" s="995"/>
      <c r="U4" s="996"/>
      <c r="V4" s="316"/>
      <c r="W4" s="315" t="s">
        <v>231</v>
      </c>
      <c r="X4" s="316"/>
      <c r="Y4" s="988" t="s">
        <v>232</v>
      </c>
      <c r="Z4" s="988"/>
      <c r="AA4" s="316"/>
      <c r="AB4" s="315" t="s">
        <v>233</v>
      </c>
      <c r="AC4" s="316"/>
      <c r="AD4" s="988" t="s">
        <v>234</v>
      </c>
      <c r="AE4" s="988"/>
      <c r="AF4" s="988"/>
      <c r="AG4" s="988"/>
      <c r="AH4" s="988"/>
      <c r="AI4" s="316"/>
      <c r="AJ4" s="988" t="s">
        <v>235</v>
      </c>
      <c r="AK4" s="988"/>
      <c r="AL4" s="988"/>
      <c r="AM4" s="988"/>
      <c r="AN4" s="988"/>
      <c r="AO4" s="316"/>
      <c r="AP4" s="315" t="s">
        <v>236</v>
      </c>
      <c r="AQ4" s="317"/>
      <c r="AR4" s="318" t="s">
        <v>237</v>
      </c>
    </row>
    <row r="5" spans="3:44" ht="121.5" customHeight="1" thickBot="1" x14ac:dyDescent="0.25">
      <c r="C5" s="990"/>
      <c r="D5" s="319"/>
      <c r="E5" s="320" t="s">
        <v>238</v>
      </c>
      <c r="F5" s="321"/>
      <c r="G5" s="320" t="s">
        <v>239</v>
      </c>
      <c r="H5" s="321"/>
      <c r="I5" s="320" t="s">
        <v>499</v>
      </c>
      <c r="J5" s="320" t="s">
        <v>500</v>
      </c>
      <c r="K5" s="320" t="s">
        <v>240</v>
      </c>
      <c r="L5" s="320" t="s">
        <v>501</v>
      </c>
      <c r="M5" s="320" t="s">
        <v>496</v>
      </c>
      <c r="N5" s="320" t="s">
        <v>497</v>
      </c>
      <c r="O5" s="320" t="s">
        <v>498</v>
      </c>
      <c r="P5" s="320" t="s">
        <v>241</v>
      </c>
      <c r="Q5" s="320" t="s">
        <v>241</v>
      </c>
      <c r="R5" s="321"/>
      <c r="S5" s="322" t="s">
        <v>242</v>
      </c>
      <c r="T5" s="320" t="s">
        <v>243</v>
      </c>
      <c r="U5" s="323" t="s">
        <v>244</v>
      </c>
      <c r="V5" s="321"/>
      <c r="W5" s="320" t="s">
        <v>245</v>
      </c>
      <c r="X5" s="321"/>
      <c r="Y5" s="320" t="s">
        <v>238</v>
      </c>
      <c r="Z5" s="320" t="s">
        <v>246</v>
      </c>
      <c r="AA5" s="321"/>
      <c r="AB5" s="320" t="s">
        <v>243</v>
      </c>
      <c r="AC5" s="321"/>
      <c r="AD5" s="320" t="s">
        <v>247</v>
      </c>
      <c r="AE5" s="320" t="s">
        <v>248</v>
      </c>
      <c r="AF5" s="320" t="s">
        <v>249</v>
      </c>
      <c r="AG5" s="320" t="s">
        <v>250</v>
      </c>
      <c r="AH5" s="320" t="s">
        <v>251</v>
      </c>
      <c r="AI5" s="321"/>
      <c r="AJ5" s="320" t="s">
        <v>247</v>
      </c>
      <c r="AK5" s="320" t="s">
        <v>248</v>
      </c>
      <c r="AL5" s="320" t="s">
        <v>249</v>
      </c>
      <c r="AM5" s="320" t="s">
        <v>250</v>
      </c>
      <c r="AN5" s="320" t="s">
        <v>252</v>
      </c>
      <c r="AO5" s="321"/>
      <c r="AP5" s="320" t="s">
        <v>253</v>
      </c>
      <c r="AR5" s="324" t="s">
        <v>254</v>
      </c>
    </row>
    <row r="6" spans="3:44" ht="15" x14ac:dyDescent="0.2">
      <c r="C6" s="329" t="s">
        <v>95</v>
      </c>
      <c r="D6" s="317"/>
      <c r="E6" s="629">
        <v>37740.906000000003</v>
      </c>
      <c r="F6" s="326"/>
      <c r="G6" s="325">
        <f t="shared" ref="G6:G13" si="0">+E6/3.3</f>
        <v>11436.638181818184</v>
      </c>
      <c r="H6" s="326"/>
      <c r="I6" s="325">
        <f>SUM('[1]INSCRITA PERCAPITA 2024'!$CF$34:$CN$34)</f>
        <v>12283.214999999998</v>
      </c>
      <c r="J6" s="327"/>
      <c r="K6" s="275"/>
      <c r="L6" s="325">
        <f t="shared" ref="L6:L13" si="1">+I6-J6-K6</f>
        <v>12283.214999999998</v>
      </c>
      <c r="M6" s="325">
        <f>SUM('[1]INSCRITA PERCAPITA 2024'!$AZ$34:$BH$34)</f>
        <v>11048.477999999999</v>
      </c>
      <c r="N6" s="325"/>
      <c r="O6" s="325"/>
      <c r="P6" s="325"/>
      <c r="Q6" s="325">
        <f>SUM('[1]INSCRITA PERCAPITA 2024'!$AC$34:$AG$34)</f>
        <v>9256.0860000000011</v>
      </c>
      <c r="R6" s="326"/>
      <c r="S6" s="325">
        <f>SUM('[1]INSCRITA PERCAPITA 2024'!$N$34:$R$34)</f>
        <v>1702.575</v>
      </c>
      <c r="T6" s="325">
        <f>SUM('[1]INSCRITA PERCAPITA 2024'!$S$34)</f>
        <v>1829.8980000000001</v>
      </c>
      <c r="U6" s="328">
        <f>SUM(S6:T6)</f>
        <v>3532.473</v>
      </c>
      <c r="V6" s="326"/>
      <c r="W6" s="325">
        <f>SUM('[1]INSCRITA PERCAPITA 2024'!$D$34:$S$34)</f>
        <v>5153.1270000000004</v>
      </c>
      <c r="X6" s="326"/>
      <c r="Y6" s="325">
        <f t="shared" ref="Y6:Y12" si="2">E6</f>
        <v>37740.906000000003</v>
      </c>
      <c r="Z6" s="325">
        <f t="shared" ref="Z6:Z13" si="3">+Y6*22%</f>
        <v>8302.9993200000008</v>
      </c>
      <c r="AA6" s="326"/>
      <c r="AB6" s="325">
        <f>T6</f>
        <v>1829.8980000000001</v>
      </c>
      <c r="AC6" s="326"/>
      <c r="AD6" s="325">
        <f>SUM('[1]INSCRITA PERCAPITA 2024'!$S$34:$T$34)</f>
        <v>4021.038</v>
      </c>
      <c r="AE6" s="325">
        <f>SUM('[1]INSCRITA PERCAPITA 2024'!$U$34:$X$34)</f>
        <v>10629.99</v>
      </c>
      <c r="AF6" s="325">
        <f>SUM('[1]INSCRITA PERCAPITA 2024'!$Y$34:$AB$34)</f>
        <v>10510.563</v>
      </c>
      <c r="AG6" s="325">
        <f>SUM('[1]INSCRITA PERCAPITA 2024'!$AC$34:$AG$34)</f>
        <v>9256.0860000000011</v>
      </c>
      <c r="AH6" s="330">
        <f>+AD6*1.8%+AE6*6.3%+AF6*18.3%+AG6*30.6%</f>
        <v>5497.8633989999998</v>
      </c>
      <c r="AI6" s="326"/>
      <c r="AJ6" s="325">
        <f>AD6</f>
        <v>4021.038</v>
      </c>
      <c r="AK6" s="325">
        <f>AE6</f>
        <v>10629.99</v>
      </c>
      <c r="AL6" s="325">
        <f>AF6</f>
        <v>10510.563</v>
      </c>
      <c r="AM6" s="325">
        <f>AG6</f>
        <v>9256.0860000000011</v>
      </c>
      <c r="AN6" s="325">
        <f t="shared" ref="AN6:AN13" si="4">+AJ6*0.7%+AK6*10.6%+AL6*45.1%+AM6*73.3%</f>
        <v>12679.901157</v>
      </c>
      <c r="AO6" s="326"/>
      <c r="AP6" s="325">
        <f>SUM('[1]INSCRITA PERCAPITA 2024'!$D$34:$F$34)</f>
        <v>321.762</v>
      </c>
      <c r="AQ6" s="326"/>
      <c r="AR6" s="325">
        <f>SUM('[1]INSCRITA PERCAPITA 2024'!$D$34:$I$34)</f>
        <v>675.10799999999995</v>
      </c>
    </row>
    <row r="7" spans="3:44" ht="15.95" customHeight="1" x14ac:dyDescent="0.2">
      <c r="C7" s="329" t="s">
        <v>96</v>
      </c>
      <c r="E7" s="629">
        <v>23185</v>
      </c>
      <c r="G7" s="330">
        <f t="shared" si="0"/>
        <v>7025.757575757576</v>
      </c>
      <c r="I7" s="325">
        <f>SUM('[1]INSCRITA PERCAPITA 2024'!$CF$35:$CN$35)</f>
        <v>7850</v>
      </c>
      <c r="J7" s="330"/>
      <c r="K7" s="275"/>
      <c r="L7" s="330">
        <f t="shared" si="1"/>
        <v>7850</v>
      </c>
      <c r="M7" s="325">
        <f>SUM('[1]INSCRITA PERCAPITA 2024'!$AZ$35:$BH$35)</f>
        <v>6703</v>
      </c>
      <c r="N7" s="716"/>
      <c r="O7" s="716"/>
      <c r="P7" s="716"/>
      <c r="Q7" s="325">
        <f>SUM('[1]INSCRITA PERCAPITA 2024'!$AC$35:$AG$35)</f>
        <v>4292</v>
      </c>
      <c r="S7" s="325">
        <f>SUM('[1]INSCRITA PERCAPITA 2024'!$N$35:$R$35)</f>
        <v>1449</v>
      </c>
      <c r="T7" s="325">
        <f>SUM('[1]INSCRITA PERCAPITA 2024'!$S$35)</f>
        <v>1565</v>
      </c>
      <c r="U7" s="328">
        <f t="shared" ref="U7:U12" si="5">SUM(S7:T7)</f>
        <v>3014</v>
      </c>
      <c r="W7" s="325">
        <f>SUM('[1]INSCRITA PERCAPITA 2024'!$D$35:$S$35)</f>
        <v>4340</v>
      </c>
      <c r="Y7" s="325">
        <f t="shared" si="2"/>
        <v>23185</v>
      </c>
      <c r="Z7" s="330">
        <f t="shared" si="3"/>
        <v>5100.7</v>
      </c>
      <c r="AB7" s="325">
        <f t="shared" ref="AB7:AB12" si="6">T7</f>
        <v>1565</v>
      </c>
      <c r="AD7" s="325">
        <f>SUM('[1]INSCRITA PERCAPITA 2024'!$S$35:$T$35)</f>
        <v>3102</v>
      </c>
      <c r="AE7" s="325">
        <f>SUM('[1]INSCRITA PERCAPITA 2024'!$U$35:$X$35)</f>
        <v>6893</v>
      </c>
      <c r="AF7" s="325">
        <f>SUM('[1]INSCRITA PERCAPITA 2024'!$Y$35:$AB$35)</f>
        <v>6123</v>
      </c>
      <c r="AG7" s="325">
        <f>SUM('[1]INSCRITA PERCAPITA 2024'!$AC$35:$AG$35)</f>
        <v>4292</v>
      </c>
      <c r="AH7" s="330">
        <f>+AD7*1.8%+AE7*6.3%+AF7*18.3%+AG7*30.6%</f>
        <v>2923.9560000000001</v>
      </c>
      <c r="AJ7" s="325">
        <f t="shared" ref="AJ7:AJ12" si="7">AD7</f>
        <v>3102</v>
      </c>
      <c r="AK7" s="325">
        <f t="shared" ref="AK7:AK12" si="8">AE7</f>
        <v>6893</v>
      </c>
      <c r="AL7" s="325">
        <f t="shared" ref="AL7:AL12" si="9">AF7</f>
        <v>6123</v>
      </c>
      <c r="AM7" s="325">
        <f t="shared" ref="AM7:AM12" si="10">AG7</f>
        <v>4292</v>
      </c>
      <c r="AN7" s="330">
        <f t="shared" si="4"/>
        <v>6659.8810000000003</v>
      </c>
      <c r="AP7" s="325">
        <f>SUM('[1]INSCRITA PERCAPITA 2024'!$D$35:$F$35)</f>
        <v>106</v>
      </c>
      <c r="AR7" s="325">
        <f>SUM('[1]INSCRITA PERCAPITA 2024'!$D$35:$I$35)</f>
        <v>362</v>
      </c>
    </row>
    <row r="8" spans="3:44" ht="15.95" customHeight="1" x14ac:dyDescent="0.2">
      <c r="C8" s="329" t="s">
        <v>97</v>
      </c>
      <c r="E8" s="629">
        <v>18288</v>
      </c>
      <c r="G8" s="330">
        <f t="shared" si="0"/>
        <v>5541.818181818182</v>
      </c>
      <c r="I8" s="330">
        <f>SUM('[1]INSCRITA PERCAPITA 2024'!$CF$38:$CN$38)</f>
        <v>6728</v>
      </c>
      <c r="J8" s="330"/>
      <c r="K8" s="275"/>
      <c r="L8" s="330">
        <f t="shared" si="1"/>
        <v>6728</v>
      </c>
      <c r="M8" s="325">
        <f>SUM('[1]INSCRITA PERCAPITA 2024'!$AZ$38:$BH$38)</f>
        <v>4580</v>
      </c>
      <c r="N8" s="330"/>
      <c r="O8" s="330"/>
      <c r="P8" s="330"/>
      <c r="Q8" s="330">
        <f>SUM('[1]INSCRITA PERCAPITA 2024'!$AC$38:$AG$38)</f>
        <v>2583</v>
      </c>
      <c r="S8" s="325">
        <f>SUM('[1]INSCRITA PERCAPITA 2024'!$N$38:$R$38)</f>
        <v>1280</v>
      </c>
      <c r="T8" s="325">
        <f>SUM('[1]INSCRITA PERCAPITA 2024'!$S$38)</f>
        <v>1290</v>
      </c>
      <c r="U8" s="328">
        <f t="shared" si="5"/>
        <v>2570</v>
      </c>
      <c r="W8" s="325">
        <f>SUM('[1]INSCRITA PERCAPITA 2024'!$D$38:$S$38)</f>
        <v>4397</v>
      </c>
      <c r="Y8" s="325">
        <f t="shared" si="2"/>
        <v>18288</v>
      </c>
      <c r="Z8" s="330">
        <f t="shared" si="3"/>
        <v>4023.36</v>
      </c>
      <c r="AB8" s="325">
        <f t="shared" si="6"/>
        <v>1290</v>
      </c>
      <c r="AD8" s="325">
        <f>SUM('[1]INSCRITA PERCAPITA 2024'!$S$38:$T$38)</f>
        <v>2657</v>
      </c>
      <c r="AE8" s="325">
        <f>SUM('[1]INSCRITA PERCAPITA 2024'!$U$38:$X$38)</f>
        <v>5379</v>
      </c>
      <c r="AF8" s="325">
        <f>SUM('[1]INSCRITA PERCAPITA 2024'!$Y$38:$AB$38)</f>
        <v>4562</v>
      </c>
      <c r="AG8" s="325">
        <f>SUM('[1]INSCRITA PERCAPITA 2024'!$AC$38:$AG$38)</f>
        <v>2583</v>
      </c>
      <c r="AH8" s="330">
        <f t="shared" ref="AH8:AH13" si="11">+AD8*1.8%+AE8*6.3%+AF8*18.3%+AG8*30.6%</f>
        <v>2011.9470000000001</v>
      </c>
      <c r="AJ8" s="325">
        <f t="shared" si="7"/>
        <v>2657</v>
      </c>
      <c r="AK8" s="325">
        <f t="shared" si="8"/>
        <v>5379</v>
      </c>
      <c r="AL8" s="325">
        <f t="shared" si="9"/>
        <v>4562</v>
      </c>
      <c r="AM8" s="325">
        <f t="shared" si="10"/>
        <v>2583</v>
      </c>
      <c r="AN8" s="330">
        <f t="shared" si="4"/>
        <v>4539.5740000000005</v>
      </c>
      <c r="AP8" s="325">
        <f>SUM('[1]INSCRITA PERCAPITA 2024'!$D$38:$F$38)</f>
        <v>496</v>
      </c>
      <c r="AR8" s="325">
        <f>SUM('[1]INSCRITA PERCAPITA 2024'!$D$38:$I$38)</f>
        <v>938</v>
      </c>
    </row>
    <row r="9" spans="3:44" ht="15.95" customHeight="1" x14ac:dyDescent="0.2">
      <c r="C9" s="329" t="s">
        <v>98</v>
      </c>
      <c r="E9" s="629">
        <v>18492.717600000004</v>
      </c>
      <c r="G9" s="330">
        <f t="shared" si="0"/>
        <v>5603.8538181818194</v>
      </c>
      <c r="I9" s="330">
        <f>SUM('[1]INSCRITA PERCAPITA 2024'!$CF$37:$CN$37)</f>
        <v>6306.6552000000011</v>
      </c>
      <c r="J9" s="330"/>
      <c r="K9" s="275"/>
      <c r="L9" s="330">
        <f t="shared" si="1"/>
        <v>6306.6552000000011</v>
      </c>
      <c r="M9" s="325">
        <f>SUM('[1]INSCRITA PERCAPITA 2024'!$AZ$37:$BH$37)</f>
        <v>5028.0760000000009</v>
      </c>
      <c r="N9" s="330"/>
      <c r="O9" s="330"/>
      <c r="P9" s="330"/>
      <c r="Q9" s="330">
        <f>SUM('[1]INSCRITA PERCAPITA 2024'!$AC$37:$AG$37)</f>
        <v>2876.8032000000003</v>
      </c>
      <c r="S9" s="325">
        <f>SUM('[1]INSCRITA PERCAPITA 2024'!$N$37:$R$37)</f>
        <v>1441.5663999999997</v>
      </c>
      <c r="T9" s="325">
        <f>SUM('[1]INSCRITA PERCAPITA 2024'!$S$37)</f>
        <v>1272.2496000000001</v>
      </c>
      <c r="U9" s="328">
        <f t="shared" si="5"/>
        <v>2713.8159999999998</v>
      </c>
      <c r="W9" s="325">
        <f>SUM('[1]INSCRITA PERCAPITA 2024'!$D$37:$S$37)</f>
        <v>4281.1831999999995</v>
      </c>
      <c r="Y9" s="325">
        <f t="shared" si="2"/>
        <v>18492.717600000004</v>
      </c>
      <c r="Z9" s="330">
        <f t="shared" si="3"/>
        <v>4068.3978720000009</v>
      </c>
      <c r="AB9" s="325">
        <f t="shared" si="6"/>
        <v>1272.2496000000001</v>
      </c>
      <c r="AD9" s="325">
        <f>SUM('[1]INSCRITA PERCAPITA 2024'!$S$37:$T$37)</f>
        <v>2614.1248000000001</v>
      </c>
      <c r="AE9" s="325">
        <f>SUM('[1]INSCRITA PERCAPITA 2024'!$U$37:$X$37)</f>
        <v>5585.8719999999994</v>
      </c>
      <c r="AF9" s="325">
        <f>SUM('[1]INSCRITA PERCAPITA 2024'!$Y$37:$AB$37)</f>
        <v>4406.9840000000004</v>
      </c>
      <c r="AG9" s="325">
        <f>SUM('[1]INSCRITA PERCAPITA 2024'!$AC$37:$AG$37)</f>
        <v>2876.8032000000003</v>
      </c>
      <c r="AH9" s="330">
        <f t="shared" si="11"/>
        <v>2085.7440336</v>
      </c>
      <c r="AJ9" s="325">
        <f t="shared" si="7"/>
        <v>2614.1248000000001</v>
      </c>
      <c r="AK9" s="325">
        <f t="shared" si="8"/>
        <v>5585.8719999999994</v>
      </c>
      <c r="AL9" s="325">
        <f t="shared" si="9"/>
        <v>4406.9840000000004</v>
      </c>
      <c r="AM9" s="325">
        <f t="shared" si="10"/>
        <v>2876.8032000000003</v>
      </c>
      <c r="AN9" s="330">
        <f t="shared" si="4"/>
        <v>4706.6478352000004</v>
      </c>
      <c r="AP9" s="325">
        <f>SUM('[1]INSCRITA PERCAPITA 2024'!$D$37:$F$37)</f>
        <v>304.61200000000002</v>
      </c>
      <c r="AR9" s="325">
        <f>SUM('[1]INSCRITA PERCAPITA 2024'!$D$37:$I$37)</f>
        <v>669.35519999999997</v>
      </c>
    </row>
    <row r="10" spans="3:44" ht="15" x14ac:dyDescent="0.2">
      <c r="C10" s="329" t="s">
        <v>99</v>
      </c>
      <c r="E10" s="629">
        <v>18509</v>
      </c>
      <c r="G10" s="330">
        <f t="shared" si="0"/>
        <v>5608.787878787879</v>
      </c>
      <c r="I10" s="330">
        <f>SUM('[1]INSCRITA PERCAPITA 2024'!$CF$36:$CN$36)</f>
        <v>6118</v>
      </c>
      <c r="J10" s="330"/>
      <c r="K10" s="275"/>
      <c r="L10" s="330">
        <f t="shared" si="1"/>
        <v>6118</v>
      </c>
      <c r="M10" s="325">
        <f>SUM('[1]INSCRITA PERCAPITA 2024'!$AZ$36:$BH$36)</f>
        <v>5349</v>
      </c>
      <c r="N10" s="330"/>
      <c r="O10" s="330"/>
      <c r="P10" s="330"/>
      <c r="Q10" s="330">
        <f>SUM('[1]INSCRITA PERCAPITA 2024'!$AC$36:$AG$36)</f>
        <v>2707</v>
      </c>
      <c r="S10" s="325">
        <f>SUM('[1]INSCRITA PERCAPITA 2024'!$N$36:$R$36)</f>
        <v>1337</v>
      </c>
      <c r="T10" s="325">
        <f>SUM('[1]INSCRITA PERCAPITA 2024'!$S$36)</f>
        <v>1190</v>
      </c>
      <c r="U10" s="328">
        <f t="shared" si="5"/>
        <v>2527</v>
      </c>
      <c r="W10" s="325">
        <f>SUM('[1]INSCRITA PERCAPITA 2024'!$D$36:$S$36)</f>
        <v>4335</v>
      </c>
      <c r="Y10" s="325">
        <f t="shared" si="2"/>
        <v>18509</v>
      </c>
      <c r="Z10" s="330">
        <f t="shared" si="3"/>
        <v>4071.98</v>
      </c>
      <c r="AB10" s="325">
        <f t="shared" si="6"/>
        <v>1190</v>
      </c>
      <c r="AD10" s="325">
        <f>SUM('[1]INSCRITA PERCAPITA 2024'!$S$36:$T$36)</f>
        <v>2511</v>
      </c>
      <c r="AE10" s="325">
        <f>SUM('[1]INSCRITA PERCAPITA 2024'!$U$36:$X$36)</f>
        <v>5747</v>
      </c>
      <c r="AF10" s="325">
        <f>SUM('[1]INSCRITA PERCAPITA 2024'!$Y$36:$AB$36)</f>
        <v>4399</v>
      </c>
      <c r="AG10" s="325">
        <f>SUM('[1]INSCRITA PERCAPITA 2024'!$AC$36:$AG$36)</f>
        <v>2707</v>
      </c>
      <c r="AH10" s="330">
        <f t="shared" si="11"/>
        <v>2040.6179999999999</v>
      </c>
      <c r="AJ10" s="325">
        <f t="shared" si="7"/>
        <v>2511</v>
      </c>
      <c r="AK10" s="325">
        <f t="shared" si="8"/>
        <v>5747</v>
      </c>
      <c r="AL10" s="325">
        <f t="shared" si="9"/>
        <v>4399</v>
      </c>
      <c r="AM10" s="325">
        <f t="shared" si="10"/>
        <v>2707</v>
      </c>
      <c r="AN10" s="330">
        <f t="shared" si="4"/>
        <v>4594.9390000000003</v>
      </c>
      <c r="AP10" s="325">
        <f>SUM('[1]INSCRITA PERCAPITA 2024'!$D$36:$F$36)</f>
        <v>312</v>
      </c>
      <c r="AR10" s="325">
        <f>SUM('[1]INSCRITA PERCAPITA 2024'!$D$36:$I$36)</f>
        <v>917</v>
      </c>
    </row>
    <row r="11" spans="3:44" ht="15.95" customHeight="1" x14ac:dyDescent="0.2">
      <c r="C11" s="329" t="s">
        <v>100</v>
      </c>
      <c r="E11" s="629">
        <v>497.09399999999994</v>
      </c>
      <c r="G11" s="330">
        <f t="shared" si="0"/>
        <v>150.63454545454545</v>
      </c>
      <c r="I11" s="330">
        <f>SUM('[1]INSCRITA PERCAPITA 2024'!$CF$39:$CN$39)</f>
        <v>161.785</v>
      </c>
      <c r="J11" s="330"/>
      <c r="K11" s="275"/>
      <c r="L11" s="330">
        <f t="shared" si="1"/>
        <v>161.785</v>
      </c>
      <c r="M11" s="325">
        <f>SUM('[1]INSCRITA PERCAPITA 2024'!$AZ$39:$BH$39)</f>
        <v>145.52199999999996</v>
      </c>
      <c r="N11" s="330"/>
      <c r="O11" s="330"/>
      <c r="P11" s="330"/>
      <c r="Q11" s="330">
        <f>SUM('[1]INSCRITA PERCAPITA 2024'!$AC$39:$AG$39)</f>
        <v>121.91399999999999</v>
      </c>
      <c r="S11" s="325">
        <f>SUM('[1]INSCRITA PERCAPITA 2024'!$N$39:$R$39)</f>
        <v>22.424999999999997</v>
      </c>
      <c r="T11" s="325">
        <f>SUM('[1]INSCRITA PERCAPITA 2024'!$S$39)</f>
        <v>24.101999999999997</v>
      </c>
      <c r="U11" s="328">
        <f t="shared" si="5"/>
        <v>46.526999999999994</v>
      </c>
      <c r="W11" s="325">
        <f>SUM('[1]INSCRITA PERCAPITA 2024'!$D$39:$S$39)</f>
        <v>67.87299999999999</v>
      </c>
      <c r="Y11" s="325">
        <f t="shared" si="2"/>
        <v>497.09399999999994</v>
      </c>
      <c r="Z11" s="330">
        <f t="shared" si="3"/>
        <v>109.36067999999999</v>
      </c>
      <c r="AB11" s="325">
        <f t="shared" si="6"/>
        <v>24.101999999999997</v>
      </c>
      <c r="AD11" s="325">
        <f>SUM('[1]INSCRITA PERCAPITA 2024'!$S$39:$T$39)</f>
        <v>52.961999999999996</v>
      </c>
      <c r="AE11" s="325">
        <f>SUM('[1]INSCRITA PERCAPITA 2024'!$U$39:$X$39)</f>
        <v>140.01</v>
      </c>
      <c r="AF11" s="325">
        <f>SUM('[1]INSCRITA PERCAPITA 2024'!$Y$39:$AB$39)</f>
        <v>138.43700000000001</v>
      </c>
      <c r="AG11" s="325">
        <f>SUM('[1]INSCRITA PERCAPITA 2024'!$AC$39:$AG$39)</f>
        <v>121.91399999999999</v>
      </c>
      <c r="AH11" s="330">
        <f t="shared" si="11"/>
        <v>72.413601</v>
      </c>
      <c r="AJ11" s="325">
        <f t="shared" si="7"/>
        <v>52.961999999999996</v>
      </c>
      <c r="AK11" s="325">
        <f t="shared" si="8"/>
        <v>140.01</v>
      </c>
      <c r="AL11" s="325">
        <f t="shared" si="9"/>
        <v>138.43700000000001</v>
      </c>
      <c r="AM11" s="325">
        <f t="shared" si="10"/>
        <v>121.91399999999999</v>
      </c>
      <c r="AN11" s="330">
        <f t="shared" si="4"/>
        <v>167.00984299999999</v>
      </c>
      <c r="AP11" s="325">
        <f>SUM('[1]INSCRITA PERCAPITA 2024'!$D$39:$F$39)</f>
        <v>4.2379999999999995</v>
      </c>
      <c r="AR11" s="325">
        <f>SUM('[1]INSCRITA PERCAPITA 2024'!$D$39:$I$39)</f>
        <v>8.8919999999999995</v>
      </c>
    </row>
    <row r="12" spans="3:44" ht="15.95" customHeight="1" x14ac:dyDescent="0.2">
      <c r="C12" s="329" t="s">
        <v>101</v>
      </c>
      <c r="E12" s="629">
        <v>4880.282400000001</v>
      </c>
      <c r="G12" s="330">
        <f t="shared" si="0"/>
        <v>1478.8734545454549</v>
      </c>
      <c r="I12" s="330">
        <f>SUM('[1]INSCRITA PERCAPITA 2024'!$CF$40:$CN$40)</f>
        <v>1664.3448000000001</v>
      </c>
      <c r="J12" s="330"/>
      <c r="K12" s="275"/>
      <c r="L12" s="330">
        <f t="shared" si="1"/>
        <v>1664.3448000000001</v>
      </c>
      <c r="M12" s="325">
        <f>SUM('[1]INSCRITA PERCAPITA 2024'!$AZ$40:$BH$40)</f>
        <v>1326.9240000000002</v>
      </c>
      <c r="N12" s="330"/>
      <c r="O12" s="330"/>
      <c r="P12" s="330"/>
      <c r="Q12" s="330">
        <f>SUM('[1]INSCRITA PERCAPITA 2024'!$AC$40:$AG$40)</f>
        <v>759.19680000000005</v>
      </c>
      <c r="S12" s="325">
        <f>SUM('[1]INSCRITA PERCAPITA 2024'!$N$40:$R$40)</f>
        <v>380.43360000000007</v>
      </c>
      <c r="T12" s="325">
        <f>SUM('[1]INSCRITA PERCAPITA 2024'!$S$40)</f>
        <v>335.75040000000001</v>
      </c>
      <c r="U12" s="328">
        <f t="shared" si="5"/>
        <v>716.18400000000008</v>
      </c>
      <c r="W12" s="325">
        <f>SUM('[1]INSCRITA PERCAPITA 2024'!$D$40:$S$40)</f>
        <v>1129.8168000000001</v>
      </c>
      <c r="Y12" s="325">
        <f t="shared" si="2"/>
        <v>4880.282400000001</v>
      </c>
      <c r="Z12" s="330">
        <f t="shared" si="3"/>
        <v>1073.6621280000002</v>
      </c>
      <c r="AB12" s="325">
        <f t="shared" si="6"/>
        <v>335.75040000000001</v>
      </c>
      <c r="AD12" s="325">
        <f>SUM('[1]INSCRITA PERCAPITA 2024'!$S$40:$T$40)</f>
        <v>689.87520000000006</v>
      </c>
      <c r="AE12" s="325">
        <f>SUM('[1]INSCRITA PERCAPITA 2024'!$U$40:$X$40)</f>
        <v>1474.1280000000002</v>
      </c>
      <c r="AF12" s="325">
        <f>SUM('[1]INSCRITA PERCAPITA 2024'!$Y$40:$AB$40)</f>
        <v>1163.0160000000001</v>
      </c>
      <c r="AG12" s="325">
        <f>SUM('[1]INSCRITA PERCAPITA 2024'!$AC$40:$AG$40)</f>
        <v>759.19680000000005</v>
      </c>
      <c r="AH12" s="330">
        <f t="shared" si="11"/>
        <v>550.43396640000003</v>
      </c>
      <c r="AJ12" s="325">
        <f t="shared" si="7"/>
        <v>689.87520000000006</v>
      </c>
      <c r="AK12" s="325">
        <f t="shared" si="8"/>
        <v>1474.1280000000002</v>
      </c>
      <c r="AL12" s="325">
        <f t="shared" si="9"/>
        <v>1163.0160000000001</v>
      </c>
      <c r="AM12" s="325">
        <f t="shared" si="10"/>
        <v>759.19680000000005</v>
      </c>
      <c r="AN12" s="330">
        <f t="shared" si="4"/>
        <v>1242.0981648000002</v>
      </c>
      <c r="AP12" s="325">
        <f>SUM('[1]INSCRITA PERCAPITA 2024'!$D$40:$F$40)</f>
        <v>80.388000000000005</v>
      </c>
      <c r="AR12" s="325">
        <f>SUM('[1]INSCRITA PERCAPITA 2024'!$D$40:$I$40)</f>
        <v>176.6448</v>
      </c>
    </row>
    <row r="13" spans="3:44" ht="15.95" customHeight="1" x14ac:dyDescent="0.2">
      <c r="C13" s="329" t="s">
        <v>15</v>
      </c>
      <c r="E13" s="330">
        <f>SUM(E6:E12)</f>
        <v>121593</v>
      </c>
      <c r="G13" s="330">
        <f t="shared" si="0"/>
        <v>36846.36363636364</v>
      </c>
      <c r="I13" s="330">
        <f>SUM(I6:I12)</f>
        <v>41112</v>
      </c>
      <c r="J13" s="330"/>
      <c r="K13" s="330"/>
      <c r="L13" s="330">
        <f t="shared" si="1"/>
        <v>41112</v>
      </c>
      <c r="M13" s="330">
        <f>SUM(M6:M12)</f>
        <v>34181</v>
      </c>
      <c r="N13" s="330"/>
      <c r="O13" s="330"/>
      <c r="P13" s="330"/>
      <c r="Q13" s="330">
        <f>SUM(Q6:Q12)</f>
        <v>22596.000000000004</v>
      </c>
      <c r="S13" s="331">
        <f t="shared" ref="S13:T13" si="12">SUM(S6:S12)</f>
        <v>7613</v>
      </c>
      <c r="T13" s="331">
        <f t="shared" si="12"/>
        <v>7507</v>
      </c>
      <c r="U13" s="331">
        <f>SUM(U6:U12)</f>
        <v>15120</v>
      </c>
      <c r="W13" s="331">
        <f>SUM(W6:W12)</f>
        <v>23704</v>
      </c>
      <c r="Y13" s="330">
        <f>SUM(Y6:Y12)</f>
        <v>121593</v>
      </c>
      <c r="Z13" s="330">
        <f t="shared" si="3"/>
        <v>26750.46</v>
      </c>
      <c r="AB13" s="330">
        <f>SUM(AB6:AB12)</f>
        <v>7507</v>
      </c>
      <c r="AD13" s="330">
        <f>SUM(AD6:AD12)</f>
        <v>15648</v>
      </c>
      <c r="AE13" s="330">
        <f>SUM(AE6:AE12)</f>
        <v>35848.999999999993</v>
      </c>
      <c r="AF13" s="330">
        <f>SUM(AF6:AF12)</f>
        <v>31303.000000000004</v>
      </c>
      <c r="AG13" s="330">
        <f>SUM(AG6:AG12)</f>
        <v>22596.000000000004</v>
      </c>
      <c r="AH13" s="330">
        <f t="shared" si="11"/>
        <v>15182.976000000002</v>
      </c>
      <c r="AJ13" s="330">
        <f>SUM(AJ6:AJ12)</f>
        <v>15648</v>
      </c>
      <c r="AK13" s="330">
        <f>SUM(AK6:AK12)</f>
        <v>35848.999999999993</v>
      </c>
      <c r="AL13" s="330">
        <f>SUM(AL6:AL12)</f>
        <v>31303.000000000004</v>
      </c>
      <c r="AM13" s="330">
        <f>SUM(AM6:AM12)</f>
        <v>22596.000000000004</v>
      </c>
      <c r="AN13" s="330">
        <f t="shared" si="4"/>
        <v>34590.051000000007</v>
      </c>
      <c r="AP13" s="330">
        <f>SUM(AP6:AP12)</f>
        <v>1625</v>
      </c>
      <c r="AR13" s="330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32" t="s">
        <v>203</v>
      </c>
      <c r="D15" s="333"/>
      <c r="E15" s="334">
        <f>SUM(E13)</f>
        <v>121593</v>
      </c>
      <c r="F15" s="334"/>
      <c r="G15" s="334">
        <f t="shared" ref="G15:AR15" si="13">SUM(G13)</f>
        <v>36846.36363636364</v>
      </c>
      <c r="H15" s="334"/>
      <c r="I15" s="334">
        <f t="shared" si="13"/>
        <v>41112</v>
      </c>
      <c r="J15" s="334">
        <f t="shared" si="13"/>
        <v>0</v>
      </c>
      <c r="K15" s="334">
        <f t="shared" si="13"/>
        <v>0</v>
      </c>
      <c r="L15" s="334">
        <f t="shared" si="13"/>
        <v>41112</v>
      </c>
      <c r="M15" s="334">
        <f t="shared" si="13"/>
        <v>34181</v>
      </c>
      <c r="N15" s="334"/>
      <c r="O15" s="334"/>
      <c r="P15" s="334"/>
      <c r="Q15" s="334">
        <f t="shared" si="13"/>
        <v>22596.000000000004</v>
      </c>
      <c r="R15" s="334">
        <f t="shared" si="13"/>
        <v>0</v>
      </c>
      <c r="S15" s="334">
        <f t="shared" si="13"/>
        <v>7613</v>
      </c>
      <c r="T15" s="334">
        <f t="shared" si="13"/>
        <v>7507</v>
      </c>
      <c r="U15" s="334">
        <f t="shared" si="13"/>
        <v>15120</v>
      </c>
      <c r="V15" s="334">
        <f t="shared" si="13"/>
        <v>0</v>
      </c>
      <c r="W15" s="334">
        <f>SUM(W13)</f>
        <v>23704</v>
      </c>
      <c r="X15" s="334">
        <f t="shared" si="13"/>
        <v>0</v>
      </c>
      <c r="Y15" s="334">
        <f t="shared" si="13"/>
        <v>121593</v>
      </c>
      <c r="Z15" s="334">
        <f t="shared" si="13"/>
        <v>26750.46</v>
      </c>
      <c r="AA15" s="334">
        <f t="shared" si="13"/>
        <v>0</v>
      </c>
      <c r="AB15" s="334">
        <f t="shared" si="13"/>
        <v>7507</v>
      </c>
      <c r="AC15" s="334">
        <f t="shared" si="13"/>
        <v>0</v>
      </c>
      <c r="AD15" s="334">
        <f t="shared" si="13"/>
        <v>15648</v>
      </c>
      <c r="AE15" s="334">
        <f t="shared" si="13"/>
        <v>35848.999999999993</v>
      </c>
      <c r="AF15" s="334">
        <f t="shared" si="13"/>
        <v>31303.000000000004</v>
      </c>
      <c r="AG15" s="334">
        <f t="shared" si="13"/>
        <v>22596.000000000004</v>
      </c>
      <c r="AH15" s="334">
        <f t="shared" si="13"/>
        <v>15182.976000000002</v>
      </c>
      <c r="AI15" s="334">
        <f t="shared" si="13"/>
        <v>0</v>
      </c>
      <c r="AJ15" s="334">
        <f t="shared" si="13"/>
        <v>15648</v>
      </c>
      <c r="AK15" s="334">
        <f t="shared" si="13"/>
        <v>35848.999999999993</v>
      </c>
      <c r="AL15" s="334">
        <f t="shared" si="13"/>
        <v>31303.000000000004</v>
      </c>
      <c r="AM15" s="334">
        <f t="shared" si="13"/>
        <v>22596.000000000004</v>
      </c>
      <c r="AN15" s="334">
        <f t="shared" si="13"/>
        <v>34590.051000000007</v>
      </c>
      <c r="AO15" s="334">
        <f t="shared" si="13"/>
        <v>0</v>
      </c>
      <c r="AP15" s="334">
        <f t="shared" si="13"/>
        <v>1625</v>
      </c>
      <c r="AQ15" s="334">
        <f t="shared" si="13"/>
        <v>0</v>
      </c>
      <c r="AR15" s="334">
        <f t="shared" si="13"/>
        <v>3747</v>
      </c>
    </row>
    <row r="20" spans="38:38" x14ac:dyDescent="0.2">
      <c r="AL20" s="539" t="s">
        <v>432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7" customWidth="1"/>
    <col min="2" max="2" width="8.5703125" style="384" customWidth="1"/>
    <col min="3" max="3" width="44.5703125" style="387" customWidth="1"/>
    <col min="4" max="4" width="20.140625" style="387" bestFit="1" customWidth="1"/>
    <col min="5" max="5" width="8" style="384" customWidth="1"/>
    <col min="6" max="6" width="46.85546875" style="387" customWidth="1"/>
    <col min="7" max="7" width="45.5703125" style="387" customWidth="1"/>
    <col min="8" max="8" width="8" style="384" customWidth="1"/>
    <col min="9" max="9" width="39.85546875" style="387" customWidth="1"/>
    <col min="10" max="10" width="30.28515625" style="387" customWidth="1"/>
    <col min="11" max="11" width="7.140625" style="384" customWidth="1"/>
    <col min="12" max="12" width="27" style="387" customWidth="1"/>
    <col min="13" max="13" width="58.140625" style="387" customWidth="1"/>
    <col min="14" max="14" width="23.5703125" style="387" customWidth="1"/>
    <col min="15" max="15" width="26.5703125" style="387" customWidth="1"/>
    <col min="16" max="17" width="25" style="387" customWidth="1"/>
    <col min="18" max="18" width="20.7109375" style="387" customWidth="1"/>
    <col min="19" max="19" width="8.5703125" style="384" customWidth="1"/>
    <col min="20" max="20" width="25" style="387" customWidth="1"/>
    <col min="21" max="21" width="24.5703125" style="387" customWidth="1"/>
    <col min="22" max="22" width="8.5703125" style="384" customWidth="1"/>
    <col min="23" max="23" width="25" style="387" customWidth="1"/>
    <col min="24" max="24" width="23.7109375" style="387" customWidth="1"/>
    <col min="25" max="25" width="7.28515625" style="384" customWidth="1"/>
    <col min="26" max="26" width="22.7109375" style="387" customWidth="1"/>
    <col min="27" max="27" width="23.5703125" style="387" customWidth="1"/>
    <col min="28" max="28" width="7.28515625" style="384" customWidth="1"/>
    <col min="29" max="29" width="26.28515625" style="387" customWidth="1"/>
    <col min="30" max="30" width="24.7109375" style="387" customWidth="1"/>
    <col min="31" max="31" width="7.28515625" style="384" customWidth="1"/>
    <col min="32" max="32" width="27.85546875" style="387" customWidth="1"/>
    <col min="33" max="33" width="27.7109375" style="387" customWidth="1"/>
    <col min="34" max="34" width="28" style="387" customWidth="1"/>
    <col min="35" max="35" width="33" style="387" customWidth="1"/>
    <col min="36" max="36" width="24.42578125" style="387" customWidth="1"/>
    <col min="37" max="37" width="7.28515625" style="384" customWidth="1"/>
    <col min="38" max="38" width="36.7109375" style="387" customWidth="1"/>
    <col min="39" max="39" width="30" style="387" customWidth="1"/>
    <col min="40" max="40" width="7.28515625" style="384" customWidth="1"/>
    <col min="41" max="41" width="26.42578125" style="387" customWidth="1"/>
    <col min="42" max="42" width="25.7109375" style="387" customWidth="1"/>
    <col min="43" max="43" width="7.28515625" style="384" customWidth="1"/>
    <col min="44" max="44" width="27" style="387" customWidth="1"/>
    <col min="45" max="45" width="25.7109375" style="387" customWidth="1"/>
    <col min="46" max="46" width="7.28515625" style="384" customWidth="1"/>
    <col min="47" max="48" width="25.7109375" style="387" customWidth="1"/>
    <col min="49" max="49" width="7.28515625" style="384" customWidth="1"/>
    <col min="50" max="50" width="28.140625" style="387" customWidth="1"/>
    <col min="51" max="51" width="25.7109375" style="387" customWidth="1"/>
    <col min="52" max="52" width="7.28515625" style="384" customWidth="1"/>
    <col min="53" max="53" width="26.42578125" style="387" customWidth="1"/>
    <col min="54" max="54" width="25.7109375" style="387" customWidth="1"/>
    <col min="55" max="55" width="7.28515625" style="384" customWidth="1"/>
    <col min="56" max="56" width="29.5703125" style="387" customWidth="1"/>
    <col min="57" max="57" width="25.7109375" style="387" customWidth="1"/>
    <col min="58" max="58" width="7.28515625" style="384" customWidth="1"/>
    <col min="59" max="59" width="26.42578125" style="387" customWidth="1"/>
    <col min="60" max="60" width="25.7109375" style="387" customWidth="1"/>
    <col min="61" max="16384" width="11.42578125" style="387"/>
  </cols>
  <sheetData>
    <row r="1" spans="1:60" s="384" customFormat="1" x14ac:dyDescent="0.25">
      <c r="A1" s="381" t="s">
        <v>325</v>
      </c>
      <c r="B1" s="382"/>
      <c r="C1" s="383"/>
      <c r="D1" s="383"/>
      <c r="F1" s="385"/>
      <c r="G1" s="385"/>
      <c r="I1" s="385"/>
      <c r="J1" s="385"/>
      <c r="L1" s="385"/>
      <c r="M1" s="385"/>
      <c r="N1" s="385"/>
      <c r="O1" s="385"/>
      <c r="P1" s="385"/>
      <c r="Q1" s="385"/>
      <c r="R1" s="385"/>
      <c r="T1" s="385"/>
      <c r="U1" s="385"/>
      <c r="W1" s="385"/>
      <c r="X1" s="385"/>
      <c r="Z1" s="385"/>
      <c r="AA1" s="385"/>
      <c r="AC1" s="385"/>
      <c r="AD1" s="385"/>
      <c r="AF1" s="385"/>
      <c r="AG1" s="385"/>
      <c r="AH1" s="385"/>
      <c r="AI1" s="385"/>
      <c r="AJ1" s="385"/>
      <c r="AL1" s="385"/>
      <c r="AM1" s="385"/>
      <c r="AO1" s="385"/>
      <c r="AP1" s="385"/>
      <c r="AR1" s="385"/>
      <c r="AS1" s="385"/>
      <c r="AU1" s="385"/>
      <c r="AV1" s="385"/>
      <c r="AX1" s="385"/>
      <c r="AY1" s="385"/>
      <c r="BA1" s="385"/>
      <c r="BB1" s="385"/>
      <c r="BD1" s="385"/>
      <c r="BE1" s="385"/>
      <c r="BG1" s="385"/>
      <c r="BH1" s="385"/>
    </row>
    <row r="2" spans="1:60" s="384" customFormat="1" x14ac:dyDescent="0.25">
      <c r="A2" s="386"/>
    </row>
    <row r="3" spans="1:60" ht="41.25" customHeight="1" x14ac:dyDescent="0.25">
      <c r="A3" s="1001" t="s">
        <v>326</v>
      </c>
      <c r="B3" s="1002" t="s">
        <v>327</v>
      </c>
      <c r="C3" s="1002"/>
      <c r="D3" s="1002"/>
      <c r="E3" s="1002" t="s">
        <v>328</v>
      </c>
      <c r="F3" s="1002"/>
      <c r="G3" s="1002"/>
      <c r="H3" s="999" t="s">
        <v>329</v>
      </c>
      <c r="I3" s="999"/>
      <c r="J3" s="999"/>
      <c r="K3" s="999" t="s">
        <v>330</v>
      </c>
      <c r="L3" s="999"/>
      <c r="M3" s="999"/>
      <c r="N3" s="999"/>
      <c r="O3" s="999"/>
      <c r="P3" s="999"/>
      <c r="Q3" s="999"/>
      <c r="R3" s="999"/>
      <c r="S3" s="999" t="s">
        <v>331</v>
      </c>
      <c r="T3" s="999"/>
      <c r="U3" s="999"/>
      <c r="V3" s="999" t="s">
        <v>332</v>
      </c>
      <c r="W3" s="999"/>
      <c r="X3" s="999"/>
      <c r="Y3" s="999" t="s">
        <v>333</v>
      </c>
      <c r="Z3" s="999"/>
      <c r="AA3" s="999"/>
      <c r="AB3" s="1000" t="s">
        <v>334</v>
      </c>
      <c r="AC3" s="1000"/>
      <c r="AD3" s="1000"/>
      <c r="AE3" s="1000" t="s">
        <v>335</v>
      </c>
      <c r="AF3" s="1000"/>
      <c r="AG3" s="1000"/>
      <c r="AH3" s="1000"/>
      <c r="AI3" s="1000"/>
      <c r="AJ3" s="1000"/>
      <c r="AK3" s="1000" t="s">
        <v>336</v>
      </c>
      <c r="AL3" s="1000"/>
      <c r="AM3" s="1000"/>
      <c r="AN3" s="999" t="s">
        <v>337</v>
      </c>
      <c r="AO3" s="999"/>
      <c r="AP3" s="999"/>
      <c r="AQ3" s="999" t="s">
        <v>338</v>
      </c>
      <c r="AR3" s="999"/>
      <c r="AS3" s="999"/>
      <c r="AT3" s="999" t="s">
        <v>339</v>
      </c>
      <c r="AU3" s="999"/>
      <c r="AV3" s="999"/>
      <c r="AW3" s="999" t="s">
        <v>340</v>
      </c>
      <c r="AX3" s="999"/>
      <c r="AY3" s="999"/>
      <c r="AZ3" s="999" t="s">
        <v>341</v>
      </c>
      <c r="BA3" s="999"/>
      <c r="BB3" s="999"/>
      <c r="BC3" s="999" t="s">
        <v>342</v>
      </c>
      <c r="BD3" s="999"/>
      <c r="BE3" s="999"/>
      <c r="BF3" s="999" t="s">
        <v>343</v>
      </c>
      <c r="BG3" s="999"/>
      <c r="BH3" s="999"/>
    </row>
    <row r="4" spans="1:60" ht="30.75" customHeight="1" x14ac:dyDescent="0.25">
      <c r="A4" s="1001"/>
      <c r="B4" s="1003" t="s">
        <v>344</v>
      </c>
      <c r="C4" s="388" t="s">
        <v>4</v>
      </c>
      <c r="D4" s="388" t="s">
        <v>5</v>
      </c>
      <c r="E4" s="997" t="s">
        <v>345</v>
      </c>
      <c r="F4" s="388" t="s">
        <v>4</v>
      </c>
      <c r="G4" s="388" t="s">
        <v>5</v>
      </c>
      <c r="H4" s="1003" t="s">
        <v>344</v>
      </c>
      <c r="I4" s="388" t="s">
        <v>4</v>
      </c>
      <c r="J4" s="388" t="s">
        <v>5</v>
      </c>
      <c r="K4" s="997" t="s">
        <v>345</v>
      </c>
      <c r="L4" s="388" t="s">
        <v>4</v>
      </c>
      <c r="M4" s="389" t="s">
        <v>346</v>
      </c>
      <c r="N4" s="388" t="s">
        <v>68</v>
      </c>
      <c r="O4" s="388" t="s">
        <v>69</v>
      </c>
      <c r="P4" s="388" t="s">
        <v>70</v>
      </c>
      <c r="Q4" s="388" t="s">
        <v>71</v>
      </c>
      <c r="R4" s="388" t="s">
        <v>72</v>
      </c>
      <c r="S4" s="997" t="s">
        <v>345</v>
      </c>
      <c r="T4" s="388" t="s">
        <v>4</v>
      </c>
      <c r="U4" s="388" t="s">
        <v>5</v>
      </c>
      <c r="V4" s="997" t="s">
        <v>345</v>
      </c>
      <c r="W4" s="388" t="s">
        <v>4</v>
      </c>
      <c r="X4" s="388" t="s">
        <v>5</v>
      </c>
      <c r="Y4" s="997" t="s">
        <v>345</v>
      </c>
      <c r="Z4" s="388" t="s">
        <v>4</v>
      </c>
      <c r="AA4" s="388" t="s">
        <v>5</v>
      </c>
      <c r="AB4" s="998" t="s">
        <v>345</v>
      </c>
      <c r="AC4" s="388" t="s">
        <v>4</v>
      </c>
      <c r="AD4" s="388" t="s">
        <v>5</v>
      </c>
      <c r="AE4" s="998" t="s">
        <v>345</v>
      </c>
      <c r="AF4" s="389" t="s">
        <v>347</v>
      </c>
      <c r="AG4" s="388" t="s">
        <v>76</v>
      </c>
      <c r="AH4" s="388" t="s">
        <v>77</v>
      </c>
      <c r="AI4" s="388" t="s">
        <v>78</v>
      </c>
      <c r="AJ4" s="388" t="s">
        <v>5</v>
      </c>
      <c r="AK4" s="998" t="s">
        <v>344</v>
      </c>
      <c r="AL4" s="388" t="s">
        <v>4</v>
      </c>
      <c r="AM4" s="388" t="s">
        <v>5</v>
      </c>
      <c r="AN4" s="997" t="s">
        <v>345</v>
      </c>
      <c r="AO4" s="388" t="s">
        <v>4</v>
      </c>
      <c r="AP4" s="388" t="s">
        <v>5</v>
      </c>
      <c r="AQ4" s="997" t="s">
        <v>345</v>
      </c>
      <c r="AR4" s="388" t="s">
        <v>4</v>
      </c>
      <c r="AS4" s="388" t="s">
        <v>5</v>
      </c>
      <c r="AT4" s="997" t="s">
        <v>345</v>
      </c>
      <c r="AU4" s="388" t="s">
        <v>4</v>
      </c>
      <c r="AV4" s="388" t="s">
        <v>5</v>
      </c>
      <c r="AW4" s="997" t="s">
        <v>345</v>
      </c>
      <c r="AX4" s="388" t="s">
        <v>4</v>
      </c>
      <c r="AY4" s="388" t="s">
        <v>5</v>
      </c>
      <c r="AZ4" s="997" t="s">
        <v>345</v>
      </c>
      <c r="BA4" s="388" t="s">
        <v>4</v>
      </c>
      <c r="BB4" s="388" t="s">
        <v>5</v>
      </c>
      <c r="BC4" s="997" t="s">
        <v>345</v>
      </c>
      <c r="BD4" s="388" t="s">
        <v>4</v>
      </c>
      <c r="BE4" s="388" t="s">
        <v>5</v>
      </c>
      <c r="BF4" s="997" t="s">
        <v>345</v>
      </c>
      <c r="BG4" s="388" t="s">
        <v>4</v>
      </c>
      <c r="BH4" s="388" t="s">
        <v>5</v>
      </c>
    </row>
    <row r="5" spans="1:60" ht="82.5" customHeight="1" x14ac:dyDescent="0.25">
      <c r="A5" s="1001"/>
      <c r="B5" s="1003"/>
      <c r="C5" s="389" t="s">
        <v>41</v>
      </c>
      <c r="D5" s="389" t="s">
        <v>42</v>
      </c>
      <c r="E5" s="997"/>
      <c r="F5" s="389" t="s">
        <v>348</v>
      </c>
      <c r="G5" s="389" t="s">
        <v>349</v>
      </c>
      <c r="H5" s="1003"/>
      <c r="I5" s="389" t="s">
        <v>350</v>
      </c>
      <c r="J5" s="389" t="s">
        <v>351</v>
      </c>
      <c r="K5" s="997"/>
      <c r="L5" s="390" t="s">
        <v>352</v>
      </c>
      <c r="M5" s="389" t="s">
        <v>353</v>
      </c>
      <c r="N5" s="389" t="s">
        <v>354</v>
      </c>
      <c r="O5" s="389" t="s">
        <v>355</v>
      </c>
      <c r="P5" s="389" t="s">
        <v>356</v>
      </c>
      <c r="Q5" s="389" t="s">
        <v>224</v>
      </c>
      <c r="R5" s="389" t="s">
        <v>90</v>
      </c>
      <c r="S5" s="997"/>
      <c r="T5" s="389" t="s">
        <v>357</v>
      </c>
      <c r="U5" s="389" t="s">
        <v>358</v>
      </c>
      <c r="V5" s="997"/>
      <c r="W5" s="389" t="s">
        <v>359</v>
      </c>
      <c r="X5" s="389" t="s">
        <v>360</v>
      </c>
      <c r="Y5" s="997"/>
      <c r="Z5" s="389" t="s">
        <v>361</v>
      </c>
      <c r="AA5" s="389" t="s">
        <v>362</v>
      </c>
      <c r="AB5" s="998"/>
      <c r="AC5" s="389" t="s">
        <v>363</v>
      </c>
      <c r="AD5" s="389" t="s">
        <v>364</v>
      </c>
      <c r="AE5" s="998"/>
      <c r="AF5" s="389" t="s">
        <v>365</v>
      </c>
      <c r="AG5" s="389" t="s">
        <v>366</v>
      </c>
      <c r="AH5" s="389" t="s">
        <v>367</v>
      </c>
      <c r="AI5" s="389" t="s">
        <v>368</v>
      </c>
      <c r="AJ5" s="389" t="s">
        <v>369</v>
      </c>
      <c r="AK5" s="998"/>
      <c r="AL5" s="389" t="s">
        <v>370</v>
      </c>
      <c r="AM5" s="389" t="s">
        <v>371</v>
      </c>
      <c r="AN5" s="997"/>
      <c r="AO5" s="389" t="s">
        <v>372</v>
      </c>
      <c r="AP5" s="389" t="s">
        <v>373</v>
      </c>
      <c r="AQ5" s="997"/>
      <c r="AR5" s="389" t="s">
        <v>374</v>
      </c>
      <c r="AS5" s="389" t="s">
        <v>127</v>
      </c>
      <c r="AT5" s="997"/>
      <c r="AU5" s="389" t="s">
        <v>375</v>
      </c>
      <c r="AV5" s="389" t="s">
        <v>129</v>
      </c>
      <c r="AW5" s="997"/>
      <c r="AX5" s="389" t="s">
        <v>376</v>
      </c>
      <c r="AY5" s="389" t="s">
        <v>377</v>
      </c>
      <c r="AZ5" s="997"/>
      <c r="BA5" s="389" t="s">
        <v>378</v>
      </c>
      <c r="BB5" s="389" t="s">
        <v>379</v>
      </c>
      <c r="BC5" s="997"/>
      <c r="BD5" s="389" t="s">
        <v>380</v>
      </c>
      <c r="BE5" s="389" t="s">
        <v>381</v>
      </c>
      <c r="BF5" s="997"/>
      <c r="BG5" s="389" t="s">
        <v>382</v>
      </c>
      <c r="BH5" s="389" t="s">
        <v>383</v>
      </c>
    </row>
    <row r="6" spans="1:60" ht="341.25" customHeight="1" x14ac:dyDescent="0.25">
      <c r="A6" s="391" t="s">
        <v>384</v>
      </c>
      <c r="B6" s="392" t="s">
        <v>385</v>
      </c>
      <c r="C6" s="393" t="s">
        <v>386</v>
      </c>
      <c r="D6" s="394" t="s">
        <v>387</v>
      </c>
      <c r="E6" s="392" t="s">
        <v>385</v>
      </c>
      <c r="F6" s="395" t="s">
        <v>388</v>
      </c>
      <c r="G6" s="393" t="s">
        <v>386</v>
      </c>
      <c r="H6" s="392" t="s">
        <v>385</v>
      </c>
      <c r="I6" s="396" t="s">
        <v>389</v>
      </c>
      <c r="J6" s="397" t="s">
        <v>390</v>
      </c>
      <c r="K6" s="392" t="s">
        <v>385</v>
      </c>
      <c r="L6" s="397" t="s">
        <v>391</v>
      </c>
      <c r="M6" s="398" t="s">
        <v>392</v>
      </c>
      <c r="N6" s="399" t="s">
        <v>393</v>
      </c>
      <c r="O6" s="400" t="s">
        <v>394</v>
      </c>
      <c r="P6" s="400" t="s">
        <v>395</v>
      </c>
      <c r="Q6" s="401" t="s">
        <v>396</v>
      </c>
      <c r="R6" s="402" t="s">
        <v>397</v>
      </c>
      <c r="S6" s="392" t="s">
        <v>385</v>
      </c>
      <c r="T6" s="403" t="s">
        <v>398</v>
      </c>
      <c r="U6" s="397" t="s">
        <v>399</v>
      </c>
      <c r="V6" s="392" t="s">
        <v>385</v>
      </c>
      <c r="W6" s="404" t="s">
        <v>400</v>
      </c>
      <c r="X6" s="397" t="s">
        <v>401</v>
      </c>
      <c r="Y6" s="392" t="s">
        <v>385</v>
      </c>
      <c r="Z6" s="405" t="s">
        <v>402</v>
      </c>
      <c r="AA6" s="397" t="s">
        <v>403</v>
      </c>
      <c r="AB6" s="392" t="s">
        <v>385</v>
      </c>
      <c r="AC6" s="404" t="s">
        <v>404</v>
      </c>
      <c r="AD6" s="402" t="s">
        <v>405</v>
      </c>
      <c r="AE6" s="392" t="s">
        <v>385</v>
      </c>
      <c r="AF6" s="406" t="s">
        <v>406</v>
      </c>
      <c r="AG6" s="407" t="s">
        <v>407</v>
      </c>
      <c r="AH6" s="408" t="s">
        <v>408</v>
      </c>
      <c r="AI6" s="408" t="s">
        <v>409</v>
      </c>
      <c r="AJ6" s="409" t="s">
        <v>410</v>
      </c>
      <c r="AK6" s="392" t="s">
        <v>385</v>
      </c>
      <c r="AL6" s="410" t="s">
        <v>411</v>
      </c>
      <c r="AM6" s="406" t="s">
        <v>406</v>
      </c>
      <c r="AN6" s="392" t="s">
        <v>385</v>
      </c>
      <c r="AO6" s="411" t="s">
        <v>412</v>
      </c>
      <c r="AP6" s="411" t="s">
        <v>412</v>
      </c>
      <c r="AQ6" s="392" t="s">
        <v>385</v>
      </c>
      <c r="AR6" s="404" t="s">
        <v>413</v>
      </c>
      <c r="AS6" s="404" t="s">
        <v>414</v>
      </c>
      <c r="AT6" s="392" t="s">
        <v>385</v>
      </c>
      <c r="AU6" s="404" t="s">
        <v>415</v>
      </c>
      <c r="AV6" s="397" t="s">
        <v>416</v>
      </c>
      <c r="AW6" s="392" t="s">
        <v>385</v>
      </c>
      <c r="AX6" s="411" t="s">
        <v>412</v>
      </c>
      <c r="AY6" s="400" t="s">
        <v>417</v>
      </c>
      <c r="AZ6" s="392" t="s">
        <v>385</v>
      </c>
      <c r="BA6" s="411" t="s">
        <v>418</v>
      </c>
      <c r="BB6" s="402" t="s">
        <v>419</v>
      </c>
      <c r="BC6" s="392" t="s">
        <v>385</v>
      </c>
      <c r="BD6" s="397" t="s">
        <v>420</v>
      </c>
      <c r="BE6" s="402" t="s">
        <v>421</v>
      </c>
      <c r="BF6" s="392" t="s">
        <v>385</v>
      </c>
      <c r="BG6" s="411" t="s">
        <v>412</v>
      </c>
      <c r="BH6" s="402" t="s">
        <v>419</v>
      </c>
    </row>
    <row r="7" spans="1:60" ht="22.5" customHeight="1" x14ac:dyDescent="0.25">
      <c r="A7" s="412"/>
      <c r="B7" s="413"/>
      <c r="C7" s="414"/>
      <c r="D7" s="414"/>
      <c r="E7" s="413"/>
      <c r="F7" s="414"/>
      <c r="G7" s="414"/>
      <c r="H7" s="413"/>
      <c r="I7" s="414"/>
      <c r="J7" s="414"/>
      <c r="K7" s="413"/>
      <c r="L7" s="414"/>
      <c r="M7" s="414"/>
      <c r="N7" s="415"/>
      <c r="O7" s="415"/>
      <c r="P7" s="415"/>
      <c r="Q7" s="415"/>
      <c r="R7" s="414"/>
      <c r="S7" s="413"/>
      <c r="T7" s="414"/>
      <c r="U7" s="414"/>
      <c r="V7" s="413"/>
      <c r="W7" s="414"/>
      <c r="X7" s="414"/>
      <c r="Y7" s="413"/>
      <c r="Z7" s="414"/>
      <c r="AA7" s="414"/>
      <c r="AB7" s="413"/>
      <c r="AC7" s="414"/>
      <c r="AD7" s="415"/>
      <c r="AE7" s="413"/>
      <c r="AF7" s="414"/>
      <c r="AG7" s="414"/>
      <c r="AH7" s="414"/>
      <c r="AI7" s="414"/>
      <c r="AJ7" s="414"/>
      <c r="AK7" s="413"/>
      <c r="AL7" s="414"/>
      <c r="AM7" s="414"/>
      <c r="AN7" s="413"/>
      <c r="AO7" s="414"/>
      <c r="AP7" s="414"/>
      <c r="AQ7" s="413"/>
      <c r="AR7" s="414"/>
      <c r="AS7" s="414"/>
      <c r="AT7" s="413"/>
      <c r="AU7" s="414"/>
      <c r="AV7" s="414"/>
      <c r="AW7" s="413"/>
      <c r="AX7" s="414"/>
      <c r="AY7" s="414"/>
      <c r="AZ7" s="413"/>
      <c r="BA7" s="414"/>
      <c r="BB7" s="414"/>
      <c r="BC7" s="413"/>
      <c r="BD7" s="414"/>
      <c r="BE7" s="414"/>
      <c r="BF7" s="413"/>
      <c r="BG7" s="414"/>
      <c r="BH7" s="414"/>
    </row>
    <row r="8" spans="1:60" s="384" customFormat="1" ht="16.5" x14ac:dyDescent="0.3">
      <c r="A8" s="416" t="s">
        <v>422</v>
      </c>
      <c r="F8" s="414"/>
    </row>
    <row r="9" spans="1:60" s="384" customFormat="1" x14ac:dyDescent="0.25">
      <c r="A9" s="417" t="s">
        <v>423</v>
      </c>
      <c r="F9" s="414"/>
    </row>
    <row r="10" spans="1:60" s="384" customFormat="1" x14ac:dyDescent="0.25">
      <c r="A10" s="418" t="s">
        <v>424</v>
      </c>
      <c r="F10" s="414"/>
    </row>
    <row r="11" spans="1:60" s="384" customFormat="1" x14ac:dyDescent="0.25">
      <c r="A11" s="417" t="s">
        <v>425</v>
      </c>
      <c r="F11" s="414"/>
    </row>
    <row r="12" spans="1:60" s="384" customFormat="1" x14ac:dyDescent="0.25">
      <c r="A12" s="416" t="s">
        <v>426</v>
      </c>
      <c r="F12" s="414"/>
    </row>
    <row r="13" spans="1:60" s="384" customFormat="1" x14ac:dyDescent="0.25">
      <c r="A13" s="416" t="s">
        <v>427</v>
      </c>
      <c r="F13" s="414"/>
    </row>
    <row r="14" spans="1:60" s="384" customFormat="1" x14ac:dyDescent="0.25">
      <c r="A14" s="419"/>
      <c r="F14" s="414"/>
    </row>
    <row r="15" spans="1:60" s="384" customFormat="1" ht="11.25" customHeight="1" x14ac:dyDescent="0.25">
      <c r="A15" s="420"/>
      <c r="F15" s="414"/>
    </row>
    <row r="16" spans="1:60" s="384" customFormat="1" x14ac:dyDescent="0.25">
      <c r="A16" s="420"/>
      <c r="F16" s="414"/>
    </row>
    <row r="17" spans="1:6" s="384" customFormat="1" x14ac:dyDescent="0.25">
      <c r="A17" s="421"/>
      <c r="F17" s="414"/>
    </row>
    <row r="18" spans="1:6" s="384" customFormat="1" x14ac:dyDescent="0.25">
      <c r="A18" s="420"/>
      <c r="F18" s="414"/>
    </row>
    <row r="19" spans="1:6" s="384" customFormat="1" x14ac:dyDescent="0.25">
      <c r="A19" s="420"/>
      <c r="F19" s="414"/>
    </row>
    <row r="20" spans="1:6" s="384" customFormat="1" x14ac:dyDescent="0.25">
      <c r="A20" s="420"/>
      <c r="F20" s="414"/>
    </row>
    <row r="21" spans="1:6" s="384" customFormat="1" x14ac:dyDescent="0.25">
      <c r="A21" s="422"/>
      <c r="F21" s="414"/>
    </row>
    <row r="22" spans="1:6" s="384" customFormat="1" x14ac:dyDescent="0.25">
      <c r="A22" s="419"/>
      <c r="F22" s="414"/>
    </row>
    <row r="23" spans="1:6" s="384" customFormat="1" x14ac:dyDescent="0.25">
      <c r="A23" s="420"/>
      <c r="F23" s="414"/>
    </row>
    <row r="24" spans="1:6" s="384" customFormat="1" x14ac:dyDescent="0.25">
      <c r="F24" s="414"/>
    </row>
    <row r="25" spans="1:6" s="384" customFormat="1" x14ac:dyDescent="0.25">
      <c r="A25" s="423"/>
      <c r="F25" s="414"/>
    </row>
    <row r="26" spans="1:6" s="384" customFormat="1" x14ac:dyDescent="0.25">
      <c r="F26" s="414"/>
    </row>
    <row r="27" spans="1:6" s="384" customFormat="1" x14ac:dyDescent="0.25">
      <c r="F27" s="414"/>
    </row>
    <row r="28" spans="1:6" s="384" customFormat="1" x14ac:dyDescent="0.25">
      <c r="F28" s="414"/>
    </row>
    <row r="29" spans="1:6" s="384" customFormat="1" x14ac:dyDescent="0.25"/>
    <row r="30" spans="1:6" s="384" customFormat="1" x14ac:dyDescent="0.25"/>
    <row r="31" spans="1:6" s="384" customFormat="1" x14ac:dyDescent="0.25"/>
    <row r="32" spans="1:6" s="384" customFormat="1" x14ac:dyDescent="0.25"/>
    <row r="33" s="384" customFormat="1" x14ac:dyDescent="0.25"/>
    <row r="34" s="384" customFormat="1" x14ac:dyDescent="0.25"/>
    <row r="35" s="384" customFormat="1" x14ac:dyDescent="0.25"/>
    <row r="36" s="384" customFormat="1" x14ac:dyDescent="0.25"/>
    <row r="37" s="384" customFormat="1" x14ac:dyDescent="0.25"/>
    <row r="38" s="384" customFormat="1" x14ac:dyDescent="0.25"/>
    <row r="39" s="384" customFormat="1" x14ac:dyDescent="0.25"/>
    <row r="40" s="384" customFormat="1" x14ac:dyDescent="0.25"/>
    <row r="41" s="384" customFormat="1" x14ac:dyDescent="0.25"/>
    <row r="42" s="384" customFormat="1" x14ac:dyDescent="0.25"/>
    <row r="43" s="384" customFormat="1" x14ac:dyDescent="0.25"/>
  </sheetData>
  <mergeCells count="35">
    <mergeCell ref="S3:U3"/>
    <mergeCell ref="B4:B5"/>
    <mergeCell ref="E4:E5"/>
    <mergeCell ref="H4:H5"/>
    <mergeCell ref="K4:K5"/>
    <mergeCell ref="S4:S5"/>
    <mergeCell ref="A3:A5"/>
    <mergeCell ref="B3:D3"/>
    <mergeCell ref="E3:G3"/>
    <mergeCell ref="H3:J3"/>
    <mergeCell ref="K3:R3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2024-06-26T14:14:28Z</dcterms:modified>
</cp:coreProperties>
</file>