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05ED6D9C-CCE7-454F-AB30-52DD3975DD8F}" xr6:coauthVersionLast="47" xr6:coauthVersionMax="47" xr10:uidLastSave="{00000000-0000-0000-0000-000000000000}"/>
  <bookViews>
    <workbookView xWindow="-120" yWindow="-120" windowWidth="29040" windowHeight="15720" firstSheet="5" activeTab="11" xr2:uid="{5CF3C39F-82F4-4264-94C0-186C02917A0E}"/>
  </bookViews>
  <sheets>
    <sheet name="RESUMEN INDICADORES" sheetId="19" r:id="rId1"/>
    <sheet name="Meta1" sheetId="15" r:id="rId2"/>
    <sheet name="Meta2" sheetId="3" r:id="rId3"/>
    <sheet name="Meta3A" sheetId="4" r:id="rId4"/>
    <sheet name="Meta3B" sheetId="5" r:id="rId5"/>
    <sheet name="Meta4A" sheetId="6" r:id="rId6"/>
    <sheet name="Meta4B" sheetId="7" r:id="rId7"/>
    <sheet name="Meta5" sheetId="8" r:id="rId8"/>
    <sheet name="Meta6" sheetId="9" r:id="rId9"/>
    <sheet name="Meta7" sheetId="10" r:id="rId10"/>
    <sheet name="Meta8" sheetId="11" r:id="rId11"/>
    <sheet name="Cumplimiento(%)" sheetId="12" r:id="rId12"/>
    <sheet name="Cumplim-ponderado" sheetId="13" r:id="rId13"/>
    <sheet name="Poblac" sheetId="14" r:id="rId14"/>
    <sheet name="INSCRITA PERCAPITA 202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xlnm.Print_Area" localSheetId="1">Meta1!$A$1:$AG$17</definedName>
    <definedName name="_xlnm.Print_Area" localSheetId="2">Meta2!$A$2:$K$17</definedName>
    <definedName name="_xlnm.Print_Area" localSheetId="3">Meta3A!$A$2:$U$17</definedName>
    <definedName name="_xlnm.Print_Area" localSheetId="4">Meta3B!$A$2:$W$17</definedName>
    <definedName name="_xlnm.Print_Area" localSheetId="5">Meta4A!$A$2:$K$17</definedName>
    <definedName name="_xlnm.Print_Area" localSheetId="6">Meta4B!$A$2:$L$17</definedName>
    <definedName name="_xlnm.Print_Area" localSheetId="7">Meta5!$A$2:$K$17</definedName>
    <definedName name="_xlnm.Print_Area" localSheetId="8">Meta6!$A$2:$AG$17</definedName>
    <definedName name="_xlnm.Print_Area" localSheetId="9">Meta7!$A$2:$K$17</definedName>
    <definedName name="_xlnm.Print_Area" localSheetId="10">Meta8!$B$2:$Q$15</definedName>
    <definedName name="_xlnm.Print_Titles" localSheetId="1">Meta1!$B:$B</definedName>
    <definedName name="_xlnm.Print_Titles" localSheetId="2">Meta2!$B:$B</definedName>
    <definedName name="_xlnm.Print_Titles" localSheetId="3">Meta3A!$B:$B</definedName>
    <definedName name="_xlnm.Print_Titles" localSheetId="4">Meta3B!$B:$B</definedName>
    <definedName name="_xlnm.Print_Titles" localSheetId="5">Meta4A!$B:$B</definedName>
    <definedName name="_xlnm.Print_Titles" localSheetId="6">Meta4B!$B:$B</definedName>
    <definedName name="_xlnm.Print_Titles" localSheetId="7">Meta5!$B:$B</definedName>
    <definedName name="_xlnm.Print_Titles" localSheetId="8">Meta6!$B:$B</definedName>
    <definedName name="_xlnm.Print_Titles" localSheetId="9">Meta7!$B:$B</definedName>
    <definedName name="_xlnm.Print_Titles" localSheetId="10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G14" i="4"/>
  <c r="G13" i="4"/>
  <c r="G12" i="4"/>
  <c r="G11" i="4"/>
  <c r="G10" i="4"/>
  <c r="G9" i="4"/>
  <c r="G8" i="4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G8" i="15"/>
  <c r="P16" i="5"/>
  <c r="S16" i="5" l="1"/>
  <c r="S9" i="5"/>
  <c r="S10" i="5"/>
  <c r="S11" i="5"/>
  <c r="S12" i="5"/>
  <c r="S13" i="5"/>
  <c r="S14" i="5"/>
  <c r="S8" i="5"/>
  <c r="S16" i="4"/>
  <c r="S9" i="4"/>
  <c r="S10" i="4"/>
  <c r="S11" i="4"/>
  <c r="S12" i="4"/>
  <c r="S13" i="4"/>
  <c r="S14" i="4"/>
  <c r="S8" i="4"/>
  <c r="I16" i="10" l="1"/>
  <c r="I9" i="10"/>
  <c r="I10" i="10"/>
  <c r="I11" i="10"/>
  <c r="I12" i="10"/>
  <c r="I13" i="10"/>
  <c r="I14" i="10"/>
  <c r="I8" i="10"/>
  <c r="C13" i="10"/>
  <c r="U13" i="10" s="1"/>
  <c r="C8" i="10"/>
  <c r="R8" i="10" s="1"/>
  <c r="U8" i="10" l="1"/>
  <c r="R13" i="10"/>
  <c r="C10" i="10"/>
  <c r="C11" i="10"/>
  <c r="C12" i="10"/>
  <c r="C14" i="10"/>
  <c r="C9" i="10"/>
  <c r="R14" i="10" l="1"/>
  <c r="U14" i="10"/>
  <c r="R9" i="10"/>
  <c r="U9" i="10"/>
  <c r="U12" i="10"/>
  <c r="R12" i="10"/>
  <c r="U11" i="10"/>
  <c r="R11" i="10"/>
  <c r="U10" i="10"/>
  <c r="R10" i="10"/>
  <c r="G12" i="19"/>
  <c r="AH8" i="9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16" i="8"/>
  <c r="I9" i="8"/>
  <c r="I10" i="8"/>
  <c r="I11" i="8"/>
  <c r="I12" i="8"/>
  <c r="I13" i="8"/>
  <c r="I14" i="8"/>
  <c r="I8" i="8"/>
  <c r="P9" i="9"/>
  <c r="C9" i="9"/>
  <c r="C9" i="8"/>
  <c r="AO9" i="8" s="1"/>
  <c r="C9" i="7"/>
  <c r="W9" i="7" s="1"/>
  <c r="Z10" i="7"/>
  <c r="Z11" i="7"/>
  <c r="I9" i="7"/>
  <c r="I10" i="7"/>
  <c r="I11" i="7"/>
  <c r="I12" i="7"/>
  <c r="I13" i="7"/>
  <c r="I14" i="7"/>
  <c r="I8" i="7"/>
  <c r="N9" i="7"/>
  <c r="G9" i="7" s="1"/>
  <c r="N14" i="7"/>
  <c r="G14" i="7" s="1"/>
  <c r="N13" i="7"/>
  <c r="G13" i="7" s="1"/>
  <c r="N12" i="7"/>
  <c r="G12" i="7" s="1"/>
  <c r="H12" i="7" s="1"/>
  <c r="N11" i="7"/>
  <c r="G11" i="7" s="1"/>
  <c r="N10" i="7"/>
  <c r="G10" i="7" s="1"/>
  <c r="H10" i="7" s="1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AO14" i="8" s="1"/>
  <c r="C13" i="8"/>
  <c r="AO13" i="8" s="1"/>
  <c r="C12" i="8"/>
  <c r="AO12" i="8" s="1"/>
  <c r="C11" i="8"/>
  <c r="AO11" i="8" s="1"/>
  <c r="C10" i="8"/>
  <c r="AO10" i="8" s="1"/>
  <c r="C10" i="7"/>
  <c r="W10" i="7" s="1"/>
  <c r="C11" i="7"/>
  <c r="W11" i="7" s="1"/>
  <c r="C12" i="7"/>
  <c r="W12" i="7" s="1"/>
  <c r="C13" i="7"/>
  <c r="W13" i="7" s="1"/>
  <c r="C14" i="7"/>
  <c r="W14" i="7" s="1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R9" i="5"/>
  <c r="R10" i="5"/>
  <c r="R11" i="5"/>
  <c r="R12" i="5"/>
  <c r="R13" i="5"/>
  <c r="R14" i="5"/>
  <c r="R8" i="5"/>
  <c r="R16" i="4"/>
  <c r="R9" i="4"/>
  <c r="R10" i="4"/>
  <c r="R11" i="4"/>
  <c r="R12" i="4"/>
  <c r="R13" i="4"/>
  <c r="R14" i="4"/>
  <c r="R8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C8" i="8"/>
  <c r="AO8" i="8" s="1"/>
  <c r="N8" i="7"/>
  <c r="G8" i="7" s="1"/>
  <c r="C8" i="7"/>
  <c r="W8" i="7" s="1"/>
  <c r="H11" i="7" l="1"/>
  <c r="H13" i="7"/>
  <c r="H9" i="7"/>
  <c r="H14" i="7"/>
  <c r="Z9" i="7"/>
  <c r="AR8" i="8"/>
  <c r="AR14" i="8"/>
  <c r="AR13" i="8"/>
  <c r="AR12" i="8"/>
  <c r="R14" i="6"/>
  <c r="Z8" i="7"/>
  <c r="AR11" i="8"/>
  <c r="R13" i="6"/>
  <c r="Z14" i="7"/>
  <c r="AR10" i="8"/>
  <c r="R12" i="6"/>
  <c r="Z13" i="7"/>
  <c r="AR9" i="8"/>
  <c r="Z12" i="7"/>
  <c r="W8" i="4"/>
  <c r="G16" i="7"/>
  <c r="R11" i="6"/>
  <c r="R9" i="6"/>
  <c r="R10" i="6"/>
  <c r="R8" i="6"/>
  <c r="M9" i="3"/>
  <c r="G9" i="3" s="1"/>
  <c r="T9" i="3" s="1"/>
  <c r="M10" i="3"/>
  <c r="G10" i="3" s="1"/>
  <c r="T10" i="3" s="1"/>
  <c r="M11" i="3"/>
  <c r="G11" i="3" s="1"/>
  <c r="T11" i="3" s="1"/>
  <c r="M12" i="3"/>
  <c r="G12" i="3" s="1"/>
  <c r="T12" i="3" s="1"/>
  <c r="M13" i="3"/>
  <c r="G13" i="3" s="1"/>
  <c r="T13" i="3" s="1"/>
  <c r="M14" i="3"/>
  <c r="G14" i="3" s="1"/>
  <c r="T14" i="3" s="1"/>
  <c r="M8" i="3"/>
  <c r="G8" i="3" s="1"/>
  <c r="T8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C8" i="15"/>
  <c r="F11" i="14"/>
  <c r="F10" i="14"/>
  <c r="F9" i="14"/>
  <c r="F8" i="14"/>
  <c r="F7" i="14"/>
  <c r="F6" i="14"/>
  <c r="F5" i="14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C9" i="3" l="1"/>
  <c r="V9" i="3" s="1"/>
  <c r="Y9" i="3" l="1"/>
  <c r="H9" i="3"/>
  <c r="C10" i="3"/>
  <c r="V10" i="3" s="1"/>
  <c r="C11" i="3"/>
  <c r="V11" i="3" s="1"/>
  <c r="C12" i="3"/>
  <c r="V12" i="3" s="1"/>
  <c r="C8" i="3"/>
  <c r="V8" i="3" s="1"/>
  <c r="C13" i="3"/>
  <c r="V13" i="3" s="1"/>
  <c r="C14" i="3"/>
  <c r="V14" i="3" s="1"/>
  <c r="H12" i="19"/>
  <c r="AE16" i="15"/>
  <c r="AE9" i="15"/>
  <c r="AE10" i="15"/>
  <c r="AE11" i="15"/>
  <c r="AE12" i="15"/>
  <c r="AE13" i="15"/>
  <c r="AE14" i="15"/>
  <c r="AE8" i="15"/>
  <c r="Y10" i="3" l="1"/>
  <c r="H10" i="3"/>
  <c r="Y13" i="3"/>
  <c r="H13" i="3"/>
  <c r="Y14" i="3"/>
  <c r="H14" i="3"/>
  <c r="Y12" i="3"/>
  <c r="H12" i="3"/>
  <c r="H8" i="3"/>
  <c r="Y8" i="3"/>
  <c r="Y11" i="3"/>
  <c r="H11" i="3"/>
  <c r="P16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P8" i="9" l="1"/>
  <c r="C8" i="9"/>
  <c r="C8" i="5"/>
  <c r="Q8" i="15" a="1"/>
  <c r="Q8" i="15" s="1"/>
  <c r="Q16" i="15" s="1"/>
  <c r="C16" i="15"/>
  <c r="Z16" i="15" l="1"/>
  <c r="AA16" i="15"/>
  <c r="AB16" i="15"/>
  <c r="L18" i="12"/>
  <c r="K18" i="12"/>
  <c r="J18" i="12"/>
  <c r="I18" i="12"/>
  <c r="H18" i="12"/>
  <c r="G18" i="12"/>
  <c r="F18" i="12"/>
  <c r="E18" i="12"/>
  <c r="D18" i="12"/>
  <c r="C18" i="12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V16" i="7" l="1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N16" i="3"/>
  <c r="O16" i="3"/>
  <c r="M16" i="3"/>
  <c r="G16" i="3" l="1"/>
  <c r="G20" i="3" s="1"/>
  <c r="W8" i="3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H8" i="7"/>
  <c r="I18" i="3" l="1"/>
  <c r="F4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U16" i="3" s="1"/>
  <c r="I9" i="3"/>
  <c r="Q9" i="3" s="1"/>
  <c r="X9" i="3" s="1"/>
  <c r="AA9" i="3" s="1"/>
  <c r="N16" i="7"/>
  <c r="P9" i="4"/>
  <c r="P10" i="4"/>
  <c r="P11" i="4"/>
  <c r="P12" i="4"/>
  <c r="P13" i="4"/>
  <c r="P14" i="4"/>
  <c r="P8" i="4"/>
  <c r="G9" i="10"/>
  <c r="H9" i="10" s="1"/>
  <c r="Q5" i="14"/>
  <c r="G8" i="8" s="1"/>
  <c r="H8" i="8" s="1"/>
  <c r="R5" i="14"/>
  <c r="G8" i="10" s="1"/>
  <c r="H8" i="10" s="1"/>
  <c r="R9" i="14"/>
  <c r="G12" i="10" s="1"/>
  <c r="H12" i="10" s="1"/>
  <c r="R6" i="14"/>
  <c r="R7" i="14"/>
  <c r="G10" i="10" s="1"/>
  <c r="H10" i="10" s="1"/>
  <c r="R8" i="14"/>
  <c r="G11" i="10" s="1"/>
  <c r="H11" i="10" s="1"/>
  <c r="R10" i="14"/>
  <c r="G13" i="10" s="1"/>
  <c r="H13" i="10" s="1"/>
  <c r="R11" i="14"/>
  <c r="G14" i="10" s="1"/>
  <c r="H14" i="10" s="1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M8" i="8"/>
  <c r="AN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G13" i="6" s="1"/>
  <c r="H13" i="6" s="1"/>
  <c r="P11" i="14"/>
  <c r="G14" i="6" s="1"/>
  <c r="H14" i="6" s="1"/>
  <c r="Q11" i="14"/>
  <c r="G14" i="8" s="1"/>
  <c r="H14" i="8" s="1"/>
  <c r="P8" i="14"/>
  <c r="G11" i="6" s="1"/>
  <c r="H11" i="6" s="1"/>
  <c r="P6" i="14"/>
  <c r="G9" i="6" s="1"/>
  <c r="H9" i="6" s="1"/>
  <c r="P7" i="14"/>
  <c r="G10" i="6" s="1"/>
  <c r="H10" i="6" s="1"/>
  <c r="L13" i="14"/>
  <c r="Q9" i="14"/>
  <c r="G12" i="8" s="1"/>
  <c r="H12" i="8" s="1"/>
  <c r="K13" i="14"/>
  <c r="Q10" i="14"/>
  <c r="G13" i="8" s="1"/>
  <c r="H13" i="8" s="1"/>
  <c r="P5" i="14"/>
  <c r="G8" i="6" s="1"/>
  <c r="H8" i="6" s="1"/>
  <c r="P9" i="14"/>
  <c r="G12" i="6" s="1"/>
  <c r="H12" i="6" s="1"/>
  <c r="Q8" i="14"/>
  <c r="G11" i="8" s="1"/>
  <c r="H11" i="8" s="1"/>
  <c r="J13" i="14"/>
  <c r="Q7" i="14"/>
  <c r="G10" i="8" s="1"/>
  <c r="H10" i="8" s="1"/>
  <c r="Q6" i="14"/>
  <c r="G9" i="8" s="1"/>
  <c r="H9" i="8" s="1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G16" i="6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H16" i="6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K10" i="10"/>
  <c r="J10" i="10"/>
  <c r="C16" i="10"/>
  <c r="U16" i="10" l="1"/>
  <c r="R16" i="10"/>
  <c r="H16" i="10"/>
  <c r="N16" i="10"/>
  <c r="G11" i="19" s="1"/>
  <c r="D16" i="8"/>
  <c r="D16" i="7"/>
  <c r="V16" i="10" l="1"/>
  <c r="W16" i="10"/>
  <c r="O16" i="10"/>
  <c r="H11" i="19"/>
  <c r="E16" i="7"/>
  <c r="S8" i="7"/>
  <c r="T8" i="7" s="1"/>
  <c r="E16" i="8"/>
  <c r="AK8" i="8"/>
  <c r="AL8" i="8" s="1"/>
  <c r="N14" i="6" l="1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H16" i="7" s="1"/>
  <c r="K16" i="7" l="1"/>
  <c r="J16" i="7"/>
  <c r="AO16" i="8"/>
  <c r="AK16" i="8" s="1"/>
  <c r="AR16" i="8"/>
  <c r="H16" i="8"/>
  <c r="AL16" i="8"/>
  <c r="G9" i="19"/>
  <c r="H9" i="19" s="1"/>
  <c r="W16" i="7"/>
  <c r="S16" i="7" s="1"/>
  <c r="Z16" i="7"/>
  <c r="U16" i="6"/>
  <c r="R16" i="6"/>
  <c r="K16" i="6"/>
  <c r="N16" i="6"/>
  <c r="K8" i="7"/>
  <c r="J8" i="7"/>
  <c r="J16" i="6"/>
  <c r="T16" i="7" l="1"/>
  <c r="G8" i="19"/>
  <c r="H8" i="19" s="1"/>
  <c r="AB16" i="7"/>
  <c r="AA16" i="7"/>
  <c r="W16" i="6"/>
  <c r="V16" i="6"/>
  <c r="AS16" i="8"/>
  <c r="AT16" i="8"/>
  <c r="O16" i="6"/>
  <c r="G7" i="19"/>
  <c r="H7" i="19" s="1"/>
  <c r="D16" i="3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V16" i="3" l="1"/>
  <c r="Y16" i="3"/>
  <c r="H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M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6" i="19"/>
  <c r="H6" i="19" s="1"/>
  <c r="S16" i="3"/>
  <c r="G4" i="19"/>
  <c r="H4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F14" i="13"/>
  <c r="AL14" i="9"/>
  <c r="H16" i="4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G10" i="19" s="1"/>
  <c r="H10" i="19" s="1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U8" i="4"/>
  <c r="E7" i="13" s="1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Y16" i="15"/>
  <c r="X16" i="15"/>
  <c r="W16" i="15"/>
  <c r="V16" i="15"/>
  <c r="U16" i="15"/>
  <c r="T16" i="15"/>
  <c r="S16" i="15"/>
  <c r="R16" i="15"/>
  <c r="AF11" i="4" l="1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E14" i="13" l="1"/>
  <c r="AR16" i="9"/>
  <c r="AQ16" i="9"/>
  <c r="AG16" i="4"/>
  <c r="AF16" i="4"/>
  <c r="Y16" i="4"/>
  <c r="G5" i="19"/>
  <c r="H5" i="19" s="1"/>
  <c r="T16" i="4"/>
  <c r="E15" i="12"/>
  <c r="N16" i="15"/>
  <c r="M16" i="15"/>
  <c r="L16" i="15" l="1"/>
  <c r="AC8" i="15" l="1"/>
  <c r="AC9" i="15"/>
  <c r="AC10" i="15"/>
  <c r="AC11" i="15"/>
  <c r="AC12" i="15"/>
  <c r="AC13" i="15"/>
  <c r="AC14" i="15"/>
  <c r="AC16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K14" i="15" s="1"/>
  <c r="AL14" i="15" s="1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AD13" i="15"/>
  <c r="AF13" i="15" s="1"/>
  <c r="C12" i="12" s="1"/>
  <c r="M12" i="12" s="1"/>
  <c r="K16" i="15"/>
  <c r="J16" i="15"/>
  <c r="I16" i="15"/>
  <c r="H16" i="15"/>
  <c r="G16" i="15"/>
  <c r="F16" i="15"/>
  <c r="E16" i="15"/>
  <c r="D16" i="15"/>
  <c r="AS12" i="15" l="1"/>
  <c r="AS11" i="15"/>
  <c r="AT11" i="15"/>
  <c r="AS13" i="15"/>
  <c r="AT13" i="15"/>
  <c r="AS9" i="15"/>
  <c r="AT9" i="15"/>
  <c r="AS10" i="15"/>
  <c r="AT10" i="15"/>
  <c r="AS14" i="15"/>
  <c r="AT14" i="15"/>
  <c r="AT12" i="15"/>
  <c r="O16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AF14" i="15"/>
  <c r="AG10" i="15"/>
  <c r="C9" i="13" s="1"/>
  <c r="M9" i="13" s="1"/>
  <c r="AG11" i="15"/>
  <c r="C10" i="13" s="1"/>
  <c r="M10" i="13" s="1"/>
  <c r="AG9" i="15"/>
  <c r="C8" i="13" s="1"/>
  <c r="M8" i="13" s="1"/>
  <c r="AG13" i="15"/>
  <c r="C12" i="13" s="1"/>
  <c r="M12" i="13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C14" i="13" s="1"/>
  <c r="AL16" i="15"/>
  <c r="G3" i="19"/>
  <c r="H3" i="19" s="1"/>
  <c r="AF16" i="15"/>
  <c r="AG16" i="15"/>
  <c r="AS16" i="15"/>
  <c r="M7" i="12"/>
  <c r="M15" i="12" s="1"/>
  <c r="C15" i="12"/>
  <c r="P15" i="14"/>
  <c r="M7" i="13" l="1"/>
  <c r="M14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<sst xmlns="http://schemas.openxmlformats.org/spreadsheetml/2006/main" count="1059" uniqueCount="362">
  <si>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</si>
  <si>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</si>
  <si>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</si>
  <si>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</si>
  <si>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</si>
  <si>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</si>
  <si>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</si>
  <si>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</si>
  <si>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</si>
  <si>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</si>
  <si>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</si>
  <si>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</si>
  <si>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</si>
  <si>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</si>
  <si>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</si>
  <si>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</si>
  <si>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</si>
  <si>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</si>
  <si>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</si>
  <si>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</si>
  <si>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</si>
  <si>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</si>
  <si>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</si>
  <si>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</si>
  <si>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</si>
  <si>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</si>
  <si>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</si>
  <si>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</si>
  <si>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</si>
  <si>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</si>
  <si>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</si>
  <si>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</si>
  <si>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</si>
  <si>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</si>
  <si>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</si>
  <si>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</si>
  <si>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</si>
  <si>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</si>
  <si>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</si>
  <si>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</si>
  <si>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</si>
  <si>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</si>
  <si>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</si>
  <si>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</si>
  <si>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</si>
  <si>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</si>
  <si>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</si>
  <si>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</si>
  <si>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</si>
  <si>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</si>
  <si>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</si>
  <si>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</si>
  <si>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</si>
  <si>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</si>
  <si>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</si>
  <si>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</si>
  <si>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</si>
  <si>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</si>
  <si>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</si>
  <si>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</si>
  <si>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</si>
  <si>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</si>
  <si>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</si>
  <si>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</si>
  <si>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</si>
  <si>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</si>
  <si>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</si>
  <si>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</si>
  <si>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</si>
  <si>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</si>
  <si>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</si>
  <si>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</si>
  <si>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</si>
  <si>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</si>
  <si>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</si>
  <si>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</si>
  <si>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</si>
  <si>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</si>
  <si>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</si>
  <si>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</si>
  <si>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</si>
  <si>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</si>
  <si>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</si>
  <si>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</si>
  <si>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</si>
  <si>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</si>
  <si>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</si>
  <si>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</si>
  <si>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</si>
  <si>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</si>
  <si>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</si>
  <si>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</si>
  <si>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</si>
  <si>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</si>
  <si>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</si>
  <si>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</si>
  <si>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</si>
  <si>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</si>
  <si>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</si>
  <si>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</si>
  <si>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</si>
  <si>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</si>
  <si>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</si>
  <si>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</si>
  <si>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</si>
  <si>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</si>
  <si>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</si>
  <si>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</si>
  <si>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</si>
  <si>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</si>
  <si>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</si>
  <si>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</si>
  <si>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</si>
  <si>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</si>
  <si>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</si>
  <si>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</si>
  <si>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</si>
  <si>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</si>
  <si>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</si>
  <si>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</si>
  <si>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</si>
  <si>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</si>
  <si>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</si>
  <si>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</si>
  <si>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</si>
  <si>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</si>
  <si>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</si>
  <si>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</si>
  <si>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</si>
  <si>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</si>
  <si>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</si>
  <si>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</si>
  <si>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</si>
  <si>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</si>
  <si>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</si>
  <si>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</si>
  <si>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</si>
  <si>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</si>
  <si>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</si>
  <si>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</si>
  <si>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</si>
  <si>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</si>
  <si>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</si>
  <si>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</si>
  <si>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</si>
  <si>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</si>
  <si>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</si>
  <si>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</si>
  <si>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</si>
  <si>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</si>
  <si>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</si>
  <si>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</si>
  <si>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</si>
  <si>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</si>
  <si>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</si>
  <si>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</si>
  <si>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</si>
  <si>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</si>
  <si>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</si>
  <si>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</si>
  <si>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</si>
  <si>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</si>
  <si>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</si>
  <si>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</si>
  <si>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</si>
  <si>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</si>
  <si>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</si>
  <si>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</si>
  <si>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</si>
  <si>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</si>
  <si>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</si>
  <si>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</si>
  <si>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</si>
  <si>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</si>
  <si>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</si>
  <si>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</si>
  <si>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</si>
  <si>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</si>
  <si>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</si>
  <si>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</si>
  <si>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</si>
  <si>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</si>
  <si>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</si>
  <si>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</si>
  <si>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</si>
  <si>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</si>
  <si>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</si>
  <si>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</si>
  <si>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</si>
  <si>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</si>
  <si>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</si>
  <si>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</si>
  <si>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</si>
  <si>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</si>
  <si>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</si>
  <si>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</si>
  <si>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</si>
  <si>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</si>
  <si>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</si>
  <si>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</si>
  <si>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</si>
  <si>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</si>
  <si>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</si>
  <si>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</si>
  <si>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</si>
  <si>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</si>
  <si>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</si>
  <si>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</si>
  <si>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</si>
  <si>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</si>
  <si>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</si>
  <si>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</si>
  <si>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</si>
  <si>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</si>
  <si>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</si>
  <si>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</si>
  <si>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</si>
  <si>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</si>
  <si>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</si>
  <si>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</si>
  <si>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</si>
  <si>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</si>
  <si>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</si>
  <si>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</si>
  <si>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</si>
  <si>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</si>
  <si>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</si>
  <si>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</si>
  <si>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</si>
  <si>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</si>
  <si>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</si>
  <si>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</si>
  <si>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</si>
  <si>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</si>
  <si>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</si>
  <si>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</si>
  <si>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</si>
  <si>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</si>
  <si>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</si>
  <si>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</si>
  <si>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</si>
  <si>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</si>
  <si>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</si>
  <si>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</si>
  <si>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</si>
  <si>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</si>
  <si>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</si>
  <si>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</si>
  <si>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</si>
  <si>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</si>
  <si>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</si>
  <si>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</si>
  <si>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</si>
  <si>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</si>
  <si>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</si>
  <si>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</si>
  <si>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</si>
  <si>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</si>
  <si>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</si>
  <si>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</si>
  <si>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</si>
  <si>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</si>
  <si>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</si>
  <si>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</si>
  <si>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</si>
  <si>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</si>
  <si>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</si>
  <si>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</si>
  <si>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</si>
  <si>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</si>
  <si>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</si>
  <si>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</si>
  <si>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</si>
  <si>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</si>
  <si>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</si>
  <si>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</si>
  <si>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</si>
  <si>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</si>
  <si>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</si>
  <si>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</si>
  <si>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</si>
  <si>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</si>
  <si>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</si>
  <si>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</si>
  <si>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</si>
  <si>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</si>
  <si>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</si>
  <si>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</si>
  <si>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</si>
  <si>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</si>
  <si>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</si>
  <si>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</si>
  <si>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</si>
  <si>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</si>
  <si>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</si>
  <si>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</si>
  <si>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</si>
  <si>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</si>
  <si>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</si>
  <si>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</si>
  <si>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</si>
  <si>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</si>
  <si>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</si>
  <si>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</si>
  <si>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</si>
  <si>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</si>
  <si>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</si>
  <si>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</si>
  <si>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</si>
  <si>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</si>
  <si>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</si>
  <si>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</si>
  <si>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</si>
  <si>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REMA03 SECCION D7: Celdas F205;Y205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</si>
  <si>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</si>
  <si>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</si>
  <si>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</si>
  <si>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</si>
  <si>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</si>
  <si>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REM P3: SUMA(H59:AM59)+C63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</si>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</sst>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99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01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22" fillId="2" borderId="21" xfId="1" applyNumberFormat="1" applyFont="1" applyFill="1" applyBorder="1" applyAlignment="1">
      <alignment horizontal="center"/>
    </xf>
    <xf numFmtId="3" fontId="22" fillId="2" borderId="62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6" borderId="76" xfId="0" applyNumberFormat="1" applyFont="1" applyFill="1" applyBorder="1" applyAlignment="1">
      <alignment horizontal="center"/>
    </xf>
    <xf numFmtId="3" fontId="13" fillId="6" borderId="27" xfId="0" applyNumberFormat="1" applyFont="1" applyFill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2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10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122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7" fillId="4" borderId="12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90" fillId="0" borderId="99" xfId="0" applyFont="1" applyBorder="1" applyAlignment="1">
      <alignment horizontal="left"/>
    </xf>
    <xf numFmtId="0" fontId="90" fillId="0" borderId="101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 wrapText="1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5" xfId="1" applyFont="1" applyFill="1" applyBorder="1" applyAlignment="1">
      <alignment horizontal="center" vertical="center" wrapText="1"/>
    </xf>
    <xf numFmtId="0" fontId="1" fillId="2" borderId="124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4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1" fontId="71" fillId="0" borderId="0" xfId="10" applyNumberFormat="1" applyFont="1" applyAlignment="1">
      <alignment horizontal="center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4" xfId="10" applyFont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16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sheetMetadata" Target="metadata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C1:H18"/>
  <sheetViews>
    <sheetView workbookViewId="0">
      <selection activeCell="H12" sqref="H12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1.28515625" customWidth="1"/>
  </cols>
  <sheetData>
    <row r="1" spans="3:8" ht="15.75" thickBot="1" x14ac:dyDescent="0.3"/>
    <row r="2" spans="3:8" ht="36" x14ac:dyDescent="0.25">
      <c r="C2" s="380" t="s">
        <v>325</v>
      </c>
      <c r="D2" s="433" t="s">
        <v>326</v>
      </c>
      <c r="E2" s="434"/>
      <c r="F2" s="381" t="s">
        <v>327</v>
      </c>
      <c r="G2" s="381" t="s">
        <v>328</v>
      </c>
      <c r="H2" s="382" t="s">
        <v>329</v>
      </c>
    </row>
    <row r="3" spans="3:8" ht="63" customHeight="1" x14ac:dyDescent="0.25">
      <c r="C3" s="383">
        <v>1</v>
      </c>
      <c r="D3" s="435" t="s">
        <v>330</v>
      </c>
      <c r="E3" s="436"/>
      <c r="F3" s="386">
        <v>0.752</v>
      </c>
      <c r="G3" s="387">
        <f>Meta1!AK16</f>
        <v>0.60810810810810811</v>
      </c>
      <c r="H3" s="385">
        <f>(G3/F3)*1</f>
        <v>0.80865439907993097</v>
      </c>
    </row>
    <row r="4" spans="3:8" ht="32.25" customHeight="1" x14ac:dyDescent="0.25">
      <c r="C4" s="383">
        <v>2</v>
      </c>
      <c r="D4" s="437" t="s">
        <v>338</v>
      </c>
      <c r="E4" s="438"/>
      <c r="F4" s="388">
        <f>Meta2!I18</f>
        <v>0.45389228026578793</v>
      </c>
      <c r="G4" s="388">
        <f>Meta2!R16</f>
        <v>0.36137972016638753</v>
      </c>
      <c r="H4" s="385">
        <f t="shared" ref="H4:H12" si="0">(G4/F4)*1</f>
        <v>0.79617948107593417</v>
      </c>
    </row>
    <row r="5" spans="3:8" ht="21" x14ac:dyDescent="0.25">
      <c r="C5" s="383" t="s">
        <v>321</v>
      </c>
      <c r="D5" s="431" t="s">
        <v>331</v>
      </c>
      <c r="E5" s="432"/>
      <c r="F5" s="386">
        <v>0.50800000000000001</v>
      </c>
      <c r="G5" s="386">
        <f>Meta3A!X16</f>
        <v>0.26328052190121159</v>
      </c>
      <c r="H5" s="385">
        <f t="shared" si="0"/>
        <v>0.51826874390002287</v>
      </c>
    </row>
    <row r="6" spans="3:8" ht="21" x14ac:dyDescent="0.25">
      <c r="C6" s="383" t="s">
        <v>322</v>
      </c>
      <c r="D6" s="431" t="s">
        <v>332</v>
      </c>
      <c r="E6" s="432"/>
      <c r="F6" s="388">
        <v>0.2</v>
      </c>
      <c r="G6" s="386">
        <f>Meta3B!Y16</f>
        <v>0.12533814247069433</v>
      </c>
      <c r="H6" s="385">
        <f t="shared" si="0"/>
        <v>0.62669071235347162</v>
      </c>
    </row>
    <row r="7" spans="3:8" ht="21" x14ac:dyDescent="0.25">
      <c r="C7" s="383" t="s">
        <v>324</v>
      </c>
      <c r="D7" s="431" t="s">
        <v>355</v>
      </c>
      <c r="E7" s="432"/>
      <c r="F7" s="386">
        <v>0.253</v>
      </c>
      <c r="G7" s="386">
        <f>Meta4A!N16</f>
        <v>0.23954460574791134</v>
      </c>
      <c r="H7" s="385">
        <f t="shared" si="0"/>
        <v>0.946816623509531</v>
      </c>
    </row>
    <row r="8" spans="3:8" ht="21" x14ac:dyDescent="0.25">
      <c r="C8" s="383" t="s">
        <v>323</v>
      </c>
      <c r="D8" s="431" t="s">
        <v>333</v>
      </c>
      <c r="E8" s="432"/>
      <c r="F8" s="386">
        <v>0.9</v>
      </c>
      <c r="G8" s="386">
        <f>Meta4B!S16</f>
        <v>0.90291262135922334</v>
      </c>
      <c r="H8" s="385">
        <f t="shared" si="0"/>
        <v>1.0032362459546926</v>
      </c>
    </row>
    <row r="9" spans="3:8" ht="21" x14ac:dyDescent="0.25">
      <c r="C9" s="383">
        <v>5</v>
      </c>
      <c r="D9" s="431" t="s">
        <v>334</v>
      </c>
      <c r="E9" s="432"/>
      <c r="F9" s="386">
        <v>0.40500000000000003</v>
      </c>
      <c r="G9" s="386">
        <f>Meta5!AK16</f>
        <v>0.37100263309817033</v>
      </c>
      <c r="H9" s="385">
        <f t="shared" si="0"/>
        <v>0.91605588419301309</v>
      </c>
    </row>
    <row r="10" spans="3:8" ht="21" x14ac:dyDescent="0.25">
      <c r="C10" s="383">
        <v>6</v>
      </c>
      <c r="D10" s="431" t="s">
        <v>335</v>
      </c>
      <c r="E10" s="432"/>
      <c r="F10" s="386">
        <v>0.5</v>
      </c>
      <c r="G10" s="386">
        <f>Meta6!AI16</f>
        <v>0.49859154929577465</v>
      </c>
      <c r="H10" s="385">
        <f t="shared" si="0"/>
        <v>0.9971830985915493</v>
      </c>
    </row>
    <row r="11" spans="3:8" ht="21.75" thickBot="1" x14ac:dyDescent="0.3">
      <c r="C11" s="383">
        <v>7</v>
      </c>
      <c r="D11" s="439" t="s">
        <v>336</v>
      </c>
      <c r="E11" s="440"/>
      <c r="F11" s="386">
        <v>0.13600000000000001</v>
      </c>
      <c r="G11" s="386">
        <f>Meta7!N16</f>
        <v>0.1276806387760758</v>
      </c>
      <c r="H11" s="385">
        <f t="shared" si="0"/>
        <v>0.93882822629467488</v>
      </c>
    </row>
    <row r="12" spans="3:8" ht="21" x14ac:dyDescent="0.25">
      <c r="C12" s="383">
        <v>8</v>
      </c>
      <c r="D12" s="441" t="s">
        <v>337</v>
      </c>
      <c r="E12" s="442"/>
      <c r="F12" s="388">
        <v>1</v>
      </c>
      <c r="G12" s="388">
        <f>Meta8!J15</f>
        <v>1</v>
      </c>
      <c r="H12" s="385">
        <f t="shared" si="0"/>
        <v>1</v>
      </c>
    </row>
    <row r="14" spans="3:8" ht="15.75" thickBot="1" x14ac:dyDescent="0.3"/>
    <row r="15" spans="3:8" ht="45" x14ac:dyDescent="0.25">
      <c r="C15" s="429" t="s">
        <v>360</v>
      </c>
      <c r="D15">
        <v>0.41</v>
      </c>
      <c r="E15" t="s">
        <v>358</v>
      </c>
    </row>
    <row r="16" spans="3:8" x14ac:dyDescent="0.25">
      <c r="D16">
        <v>0.5</v>
      </c>
      <c r="E16" t="s">
        <v>357</v>
      </c>
    </row>
    <row r="17" spans="4:5" x14ac:dyDescent="0.25">
      <c r="D17">
        <v>0.67</v>
      </c>
      <c r="E17" t="s">
        <v>359</v>
      </c>
    </row>
    <row r="18" spans="4:5" x14ac:dyDescent="0.25">
      <c r="D18">
        <v>0.91</v>
      </c>
      <c r="E18" t="s">
        <v>356</v>
      </c>
    </row>
  </sheetData>
  <mergeCells count="11">
    <mergeCell ref="D8:E8"/>
    <mergeCell ref="D9:E9"/>
    <mergeCell ref="D10:E10"/>
    <mergeCell ref="D11:E11"/>
    <mergeCell ref="D12:E12"/>
    <mergeCell ref="D7:E7"/>
    <mergeCell ref="D2:E2"/>
    <mergeCell ref="D3:E3"/>
    <mergeCell ref="D4:E4"/>
    <mergeCell ref="D5:E5"/>
    <mergeCell ref="D6:E6"/>
  </mergeCells>
  <conditionalFormatting sqref="H3:H12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92D050"/>
  </sheetPr>
  <dimension ref="A1:AT3686"/>
  <sheetViews>
    <sheetView showGridLines="0" zoomScale="60" zoomScaleNormal="60" workbookViewId="0">
      <selection activeCell="L25" sqref="L25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3" width="5.140625" style="133" customWidth="1"/>
    <col min="4" max="4" width="5" style="133" customWidth="1"/>
    <col min="5" max="5" width="5.5703125" style="133" customWidth="1"/>
    <col min="6" max="6" width="5" style="133" customWidth="1"/>
    <col min="7" max="7" width="5.85546875" style="133" customWidth="1"/>
    <col min="8" max="8" width="5" style="133" customWidth="1"/>
    <col min="9" max="9" width="4.140625" style="133" customWidth="1"/>
    <col min="10" max="10" width="5.28515625" style="133" customWidth="1"/>
    <col min="11" max="11" width="6" style="133" customWidth="1"/>
    <col min="12" max="12" width="4.85546875" style="133" customWidth="1"/>
    <col min="13" max="13" width="5.5703125" style="133" customWidth="1"/>
    <col min="14" max="14" width="4.42578125" style="133" customWidth="1"/>
    <col min="15" max="15" width="6.5703125" style="133" customWidth="1"/>
    <col min="16" max="16" width="9.140625" style="133" customWidth="1"/>
    <col min="17" max="17" width="5.140625" style="133" bestFit="1" customWidth="1"/>
    <col min="18" max="18" width="6.7109375" style="133" customWidth="1"/>
    <col min="19" max="19" width="5.5703125" style="133" customWidth="1"/>
    <col min="20" max="20" width="5" style="133" customWidth="1"/>
    <col min="21" max="21" width="5.85546875" style="133" customWidth="1"/>
    <col min="22" max="22" width="5" style="133" customWidth="1"/>
    <col min="23" max="23" width="4.140625" style="133" customWidth="1"/>
    <col min="24" max="24" width="5.28515625" style="133" customWidth="1"/>
    <col min="25" max="25" width="6" style="133" customWidth="1"/>
    <col min="26" max="26" width="4.85546875" style="133" customWidth="1"/>
    <col min="27" max="27" width="5.5703125" style="133" customWidth="1"/>
    <col min="28" max="28" width="4.42578125" style="133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448" t="s">
        <v>116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9"/>
      <c r="AE1" s="449"/>
      <c r="AF1" s="449"/>
      <c r="AG1" s="449"/>
      <c r="AP1" s="323" t="s">
        <v>169</v>
      </c>
      <c r="AQ1" s="327">
        <v>12</v>
      </c>
    </row>
    <row r="2" spans="1:46" s="122" customFormat="1" ht="50.25" customHeight="1" thickBot="1" x14ac:dyDescent="0.4">
      <c r="B2" s="450" t="s">
        <v>15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2"/>
      <c r="AJ2" s="325"/>
      <c r="AK2" s="325"/>
      <c r="AL2" s="325"/>
      <c r="AM2" s="326"/>
      <c r="AN2" s="325"/>
      <c r="AO2" s="325"/>
      <c r="AP2" s="333" t="s">
        <v>170</v>
      </c>
      <c r="AQ2" s="327">
        <v>5</v>
      </c>
      <c r="AR2" s="328"/>
      <c r="AS2" s="328"/>
      <c r="AT2" s="325"/>
    </row>
    <row r="3" spans="1:46" s="122" customFormat="1" ht="50.25" customHeight="1" thickBot="1" x14ac:dyDescent="0.4">
      <c r="B3" s="115"/>
      <c r="C3" s="479" t="s">
        <v>310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 t="s">
        <v>311</v>
      </c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68"/>
      <c r="AD3" s="68"/>
      <c r="AE3" s="68"/>
      <c r="AF3" s="68"/>
      <c r="AG3" s="116"/>
      <c r="AJ3" s="445" t="s">
        <v>171</v>
      </c>
      <c r="AK3" s="445" t="s">
        <v>172</v>
      </c>
      <c r="AL3" s="445" t="s">
        <v>173</v>
      </c>
      <c r="AM3" s="445" t="s">
        <v>174</v>
      </c>
      <c r="AN3" s="445" t="s">
        <v>175</v>
      </c>
      <c r="AO3" s="445" t="s">
        <v>176</v>
      </c>
      <c r="AP3" s="445" t="s">
        <v>169</v>
      </c>
      <c r="AQ3" s="445" t="s">
        <v>203</v>
      </c>
      <c r="AR3" s="445" t="s">
        <v>177</v>
      </c>
      <c r="AS3" s="445" t="s">
        <v>178</v>
      </c>
      <c r="AT3" s="445" t="s">
        <v>179</v>
      </c>
    </row>
    <row r="4" spans="1:46" s="2" customFormat="1" ht="19.5" customHeight="1" thickBot="1" x14ac:dyDescent="0.35">
      <c r="A4" s="446" t="s">
        <v>117</v>
      </c>
      <c r="B4" s="453" t="s">
        <v>110</v>
      </c>
      <c r="C4" s="455" t="s">
        <v>17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5" t="s">
        <v>18</v>
      </c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7"/>
      <c r="AD4" s="458" t="s">
        <v>11</v>
      </c>
      <c r="AE4" s="459"/>
      <c r="AF4" s="459"/>
      <c r="AG4" s="460"/>
      <c r="AI4" s="322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</row>
    <row r="5" spans="1:46" s="2" customFormat="1" ht="32.25" customHeight="1" thickBot="1" x14ac:dyDescent="0.35">
      <c r="A5" s="447"/>
      <c r="B5" s="454"/>
      <c r="C5" s="446" t="s">
        <v>19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5"/>
      <c r="P5" s="446" t="s">
        <v>343</v>
      </c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9"/>
      <c r="AD5" s="461"/>
      <c r="AE5" s="462"/>
      <c r="AF5" s="462"/>
      <c r="AG5" s="463"/>
      <c r="AI5" s="322"/>
      <c r="AJ5" s="444" t="s">
        <v>180</v>
      </c>
      <c r="AK5" s="444" t="s">
        <v>181</v>
      </c>
      <c r="AL5" s="444" t="s">
        <v>182</v>
      </c>
      <c r="AM5" s="443" t="s">
        <v>183</v>
      </c>
      <c r="AN5" s="443" t="s">
        <v>184</v>
      </c>
      <c r="AO5" s="443" t="s">
        <v>185</v>
      </c>
      <c r="AP5" s="443" t="s">
        <v>186</v>
      </c>
      <c r="AQ5" s="443" t="s">
        <v>187</v>
      </c>
      <c r="AR5" s="443" t="s">
        <v>188</v>
      </c>
      <c r="AS5" s="444" t="s">
        <v>189</v>
      </c>
      <c r="AT5" s="444" t="s">
        <v>190</v>
      </c>
    </row>
    <row r="6" spans="1:46" s="2" customFormat="1" ht="33" customHeight="1" thickBot="1" x14ac:dyDescent="0.35">
      <c r="A6" s="447"/>
      <c r="B6" s="454"/>
      <c r="C6" s="466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8"/>
      <c r="P6" s="466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70"/>
      <c r="AD6" s="471" t="s">
        <v>12</v>
      </c>
      <c r="AE6" s="473" t="s">
        <v>13</v>
      </c>
      <c r="AF6" s="475" t="s">
        <v>14</v>
      </c>
      <c r="AG6" s="477" t="s">
        <v>20</v>
      </c>
      <c r="AI6" s="322"/>
      <c r="AJ6" s="444"/>
      <c r="AK6" s="444"/>
      <c r="AL6" s="444"/>
      <c r="AM6" s="443"/>
      <c r="AN6" s="443"/>
      <c r="AO6" s="443"/>
      <c r="AP6" s="443"/>
      <c r="AQ6" s="443"/>
      <c r="AR6" s="443"/>
      <c r="AS6" s="444"/>
      <c r="AT6" s="444"/>
    </row>
    <row r="7" spans="1:46" s="9" customFormat="1" ht="32.25" customHeight="1" thickBot="1" x14ac:dyDescent="0.2">
      <c r="A7" s="447"/>
      <c r="B7" s="454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320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423" t="s">
        <v>22</v>
      </c>
      <c r="AD7" s="472"/>
      <c r="AE7" s="474"/>
      <c r="AF7" s="476"/>
      <c r="AG7" s="478"/>
      <c r="AI7" s="322"/>
      <c r="AJ7" s="334" t="s">
        <v>191</v>
      </c>
      <c r="AK7" s="334" t="s">
        <v>192</v>
      </c>
      <c r="AL7" s="334" t="s">
        <v>193</v>
      </c>
      <c r="AM7" s="334" t="s">
        <v>194</v>
      </c>
      <c r="AN7" s="334" t="s">
        <v>195</v>
      </c>
      <c r="AO7" s="334" t="s">
        <v>196</v>
      </c>
      <c r="AP7" s="334" t="s">
        <v>197</v>
      </c>
      <c r="AQ7" s="334" t="s">
        <v>198</v>
      </c>
      <c r="AR7" s="334" t="s">
        <v>199</v>
      </c>
      <c r="AS7" s="334" t="s">
        <v>200</v>
      </c>
      <c r="AT7" s="341" t="s">
        <v>201</v>
      </c>
    </row>
    <row r="8" spans="1:46" s="9" customFormat="1" ht="39.950000000000003" customHeight="1" x14ac:dyDescent="0.3">
      <c r="B8" s="134" t="s">
        <v>121</v>
      </c>
      <c r="C8" s="31">
        <f>SUM([1]A03!$J$26:$M$28)</f>
        <v>1</v>
      </c>
      <c r="D8" s="31">
        <f>SUM([2]A03!$J$26:$M$28)</f>
        <v>3</v>
      </c>
      <c r="E8" s="31">
        <f>SUM([3]A03!$J$26:$M$28)</f>
        <v>1</v>
      </c>
      <c r="F8" s="31">
        <f>SUM([4]A03!$J$26:$M$28)</f>
        <v>1</v>
      </c>
      <c r="G8" s="31">
        <f>SUM([5]A03!$J$26:$M$28)</f>
        <v>2</v>
      </c>
      <c r="H8" s="31"/>
      <c r="I8" s="31"/>
      <c r="J8" s="31"/>
      <c r="K8" s="31"/>
      <c r="L8" s="31"/>
      <c r="M8" s="31"/>
      <c r="N8" s="31"/>
      <c r="O8" s="32">
        <f t="shared" ref="O8:O14" si="0">SUM(C8:N8)</f>
        <v>8</v>
      </c>
      <c r="P8" s="125">
        <v>3</v>
      </c>
      <c r="Q8" s="57" cm="1">
        <f t="array" ref="Q8">SUM([1]A03!$J$23:$M$23-[1]A03!$J$40:$M$40)</f>
        <v>0</v>
      </c>
      <c r="R8" s="57" cm="1">
        <f t="array" ref="R8">SUM([2]A03!$J$23:$M$23-[2]A03!$J$40:$M$40)</f>
        <v>0</v>
      </c>
      <c r="S8" s="57" cm="1">
        <f t="array" ref="S8">SUM([3]A03!$J$23:$M$23-[3]A03!$J$40:$M$40)</f>
        <v>1</v>
      </c>
      <c r="T8" s="57" cm="1">
        <f t="array" ref="T8">SUM([4]A03!$J$23:$M$23-[4]A03!$J$40:$M$40)</f>
        <v>4</v>
      </c>
      <c r="U8" s="57" cm="1">
        <f t="array" ref="U8">SUM([5]A03!$J$23:$M$23-[5]A03!$J$40:$M$40)</f>
        <v>1</v>
      </c>
      <c r="V8" s="57"/>
      <c r="W8" s="57"/>
      <c r="X8" s="57"/>
      <c r="Y8" s="57"/>
      <c r="Z8" s="126"/>
      <c r="AA8" s="126"/>
      <c r="AB8" s="126"/>
      <c r="AC8" s="424">
        <f t="shared" ref="AC8:AC16" si="1">SUM(P8:AB8)</f>
        <v>9</v>
      </c>
      <c r="AD8" s="420">
        <f t="shared" ref="AD8:AD14" si="2">IF(AND(O8=0,AC8=0),1,IF(AC8=0,0,IF(AC8&lt;=O8,1,+O8/AC8)))</f>
        <v>0.88888888888888884</v>
      </c>
      <c r="AE8" s="225">
        <f>'RESUMEN INDICADORES'!$F$3</f>
        <v>0.752</v>
      </c>
      <c r="AF8" s="15">
        <f t="shared" ref="AF8:AF16" si="3">IF(AD8&gt;=AE8,1,+AD8/AE8)</f>
        <v>1</v>
      </c>
      <c r="AG8" s="135">
        <f t="shared" ref="AG8:AG16" si="4">IF(AD8&gt;=AE8,12.5,((AD8/AE8)*12.5))</f>
        <v>12.5</v>
      </c>
      <c r="AI8" s="322"/>
      <c r="AJ8" s="405">
        <f>AE8</f>
        <v>0.752</v>
      </c>
      <c r="AK8" s="405">
        <f>AO8/AM8</f>
        <v>0.88888888888888884</v>
      </c>
      <c r="AL8" s="405">
        <f>AK8/AJ8</f>
        <v>1.1820330969267139</v>
      </c>
      <c r="AM8" s="337">
        <f>AC8</f>
        <v>9</v>
      </c>
      <c r="AN8" s="338">
        <f>AM8*AJ8</f>
        <v>6.7679999999999998</v>
      </c>
      <c r="AO8" s="337">
        <f>O8</f>
        <v>8</v>
      </c>
      <c r="AP8" s="336" t="s">
        <v>339</v>
      </c>
      <c r="AQ8" s="338">
        <f>AC8*AJ8</f>
        <v>6.7679999999999998</v>
      </c>
      <c r="AR8" s="337">
        <f>O8</f>
        <v>8</v>
      </c>
      <c r="AS8" s="339">
        <f t="shared" ref="AS8:AS14" si="5">IFERROR(AR8/AQ8,0)</f>
        <v>1.1820330969267139</v>
      </c>
      <c r="AT8" s="384">
        <f t="shared" ref="AT8:AT16" si="6">(AQ8-AR8)*-1</f>
        <v>1.2320000000000002</v>
      </c>
    </row>
    <row r="9" spans="1:46" s="9" customFormat="1" ht="39.950000000000003" customHeight="1" x14ac:dyDescent="0.3">
      <c r="B9" s="134" t="s">
        <v>119</v>
      </c>
      <c r="C9" s="31">
        <f>SUM([6]A03!$J$26:$M$28)</f>
        <v>2</v>
      </c>
      <c r="D9" s="31">
        <f>SUM([7]A03!$J$26:$M$28)</f>
        <v>2</v>
      </c>
      <c r="E9" s="31">
        <f>SUM([8]A03!$J$26:$M$28)</f>
        <v>2</v>
      </c>
      <c r="F9" s="31">
        <f>SUM([9]A03!$J$26:$M$28)</f>
        <v>3</v>
      </c>
      <c r="G9" s="31">
        <f>SUM([10]A03!$J$26:$M$28)</f>
        <v>1</v>
      </c>
      <c r="H9" s="31"/>
      <c r="I9" s="31"/>
      <c r="J9" s="31"/>
      <c r="K9" s="31"/>
      <c r="L9" s="31"/>
      <c r="M9" s="31"/>
      <c r="N9" s="31"/>
      <c r="O9" s="32">
        <f t="shared" si="0"/>
        <v>10</v>
      </c>
      <c r="P9" s="125">
        <v>16</v>
      </c>
      <c r="Q9" s="57" cm="1">
        <f t="array" ref="Q9">SUM([6]A03!$J$23:$M$23-[6]A03!$J$40:$M$40)</f>
        <v>1</v>
      </c>
      <c r="R9" s="57" cm="1">
        <f t="array" ref="R9">SUM([7]A03!$J$23:$M$23-[7]A03!$J$40:$M$40)</f>
        <v>0</v>
      </c>
      <c r="S9" s="57" cm="1">
        <f t="array" ref="S9">SUM([8]A03!$J$23:$M$23-[8]A03!$J$40:$M$40)</f>
        <v>1</v>
      </c>
      <c r="T9" s="57" cm="1">
        <f t="array" ref="T9">SUM([9]A03!$J$23:$M$23-[9]A03!$J$40:$M$40)</f>
        <v>2</v>
      </c>
      <c r="U9" s="57" cm="1">
        <f t="array" ref="U9">SUM([10]A03!$J$23:$M$23-[10]A03!$J$40:$M$40)</f>
        <v>5</v>
      </c>
      <c r="V9" s="57"/>
      <c r="W9" s="57"/>
      <c r="X9" s="57"/>
      <c r="Y9" s="57"/>
      <c r="Z9" s="126"/>
      <c r="AA9" s="126"/>
      <c r="AB9" s="126"/>
      <c r="AC9" s="424">
        <f t="shared" si="1"/>
        <v>25</v>
      </c>
      <c r="AD9" s="421">
        <f t="shared" si="2"/>
        <v>0.4</v>
      </c>
      <c r="AE9" s="225">
        <f>'RESUMEN INDICADORES'!$F$3</f>
        <v>0.752</v>
      </c>
      <c r="AF9" s="15">
        <f t="shared" si="3"/>
        <v>0.53191489361702127</v>
      </c>
      <c r="AG9" s="135">
        <f t="shared" si="4"/>
        <v>6.6489361702127656</v>
      </c>
      <c r="AI9" s="322"/>
      <c r="AJ9" s="405">
        <f t="shared" ref="AJ9:AJ14" si="7">AE9</f>
        <v>0.752</v>
      </c>
      <c r="AK9" s="405">
        <f t="shared" ref="AK9:AK13" si="8">AO9/AM9</f>
        <v>0.4</v>
      </c>
      <c r="AL9" s="405">
        <f t="shared" ref="AL9:AL14" si="9">AK9/AJ9</f>
        <v>0.53191489361702127</v>
      </c>
      <c r="AM9" s="337">
        <f t="shared" ref="AM9:AM14" si="10">AC9</f>
        <v>25</v>
      </c>
      <c r="AN9" s="338">
        <f t="shared" ref="AN9:AN14" si="11">AM9*AJ9</f>
        <v>18.8</v>
      </c>
      <c r="AO9" s="337">
        <f t="shared" ref="AO9:AO14" si="12">O9</f>
        <v>10</v>
      </c>
      <c r="AP9" s="336" t="s">
        <v>339</v>
      </c>
      <c r="AQ9" s="338">
        <f t="shared" ref="AQ9:AQ14" si="13">AC9*AJ9</f>
        <v>18.8</v>
      </c>
      <c r="AR9" s="337">
        <f t="shared" ref="AR9:AR14" si="14">O9</f>
        <v>10</v>
      </c>
      <c r="AS9" s="339">
        <f t="shared" si="5"/>
        <v>0.53191489361702127</v>
      </c>
      <c r="AT9" s="384">
        <f t="shared" si="6"/>
        <v>-8.8000000000000007</v>
      </c>
    </row>
    <row r="10" spans="1:46" s="9" customFormat="1" ht="39.950000000000003" customHeight="1" x14ac:dyDescent="0.3">
      <c r="B10" s="134" t="s">
        <v>120</v>
      </c>
      <c r="C10" s="31">
        <f>SUM([11]A03!$J$26:$M$28)</f>
        <v>0</v>
      </c>
      <c r="D10" s="31">
        <f>SUM([12]A03!$J$26:$M$28)</f>
        <v>0</v>
      </c>
      <c r="E10" s="31">
        <f>SUM([13]A03!$J$26:$M$28)</f>
        <v>0</v>
      </c>
      <c r="F10" s="31">
        <f>SUM([14]A03!$J$26:$M$28)</f>
        <v>1</v>
      </c>
      <c r="G10" s="31">
        <f>SUM([15]A03!$J$26:$M$28)</f>
        <v>4</v>
      </c>
      <c r="H10" s="31"/>
      <c r="I10" s="31"/>
      <c r="J10" s="31"/>
      <c r="K10" s="31"/>
      <c r="L10" s="31"/>
      <c r="M10" s="31"/>
      <c r="N10" s="31"/>
      <c r="O10" s="32">
        <f t="shared" si="0"/>
        <v>5</v>
      </c>
      <c r="P10" s="125">
        <v>10</v>
      </c>
      <c r="Q10" s="57" cm="1">
        <f t="array" ref="Q10">SUM([11]A03!$J$23:$M$23-[11]A03!$J$40:$M$40)</f>
        <v>0</v>
      </c>
      <c r="R10" s="57" cm="1">
        <f t="array" ref="R10">SUM([12]A03!$J$23:$M$23-[12]A03!$J$40:$M$40)</f>
        <v>2</v>
      </c>
      <c r="S10" s="57" cm="1">
        <f t="array" ref="S10">SUM([13]A03!$J$23:$M$23-[13]A03!$J$40:$M$40)</f>
        <v>0</v>
      </c>
      <c r="T10" s="57" cm="1">
        <f t="array" ref="T10">SUM([14]A03!$J$23:$M$23-[14]A03!$J$40:$M$40)</f>
        <v>1</v>
      </c>
      <c r="U10" s="57" cm="1">
        <f t="array" ref="U10">SUM([15]A03!$J$23:$M$23-[15]A03!$J$40:$M$40)</f>
        <v>0</v>
      </c>
      <c r="V10" s="57"/>
      <c r="W10" s="57"/>
      <c r="X10" s="57"/>
      <c r="Y10" s="57"/>
      <c r="Z10" s="126"/>
      <c r="AA10" s="126"/>
      <c r="AB10" s="126"/>
      <c r="AC10" s="424">
        <f t="shared" si="1"/>
        <v>13</v>
      </c>
      <c r="AD10" s="421">
        <f t="shared" si="2"/>
        <v>0.38461538461538464</v>
      </c>
      <c r="AE10" s="225">
        <f>'RESUMEN INDICADORES'!$F$3</f>
        <v>0.752</v>
      </c>
      <c r="AF10" s="15">
        <f t="shared" si="3"/>
        <v>0.51145662847790507</v>
      </c>
      <c r="AG10" s="135">
        <f t="shared" si="4"/>
        <v>6.393207855973813</v>
      </c>
      <c r="AI10" s="322"/>
      <c r="AJ10" s="405">
        <f t="shared" si="7"/>
        <v>0.752</v>
      </c>
      <c r="AK10" s="405">
        <f t="shared" si="8"/>
        <v>0.38461538461538464</v>
      </c>
      <c r="AL10" s="405">
        <f t="shared" si="9"/>
        <v>0.51145662847790507</v>
      </c>
      <c r="AM10" s="337">
        <f t="shared" si="10"/>
        <v>13</v>
      </c>
      <c r="AN10" s="338">
        <f t="shared" si="11"/>
        <v>9.7759999999999998</v>
      </c>
      <c r="AO10" s="337">
        <f t="shared" si="12"/>
        <v>5</v>
      </c>
      <c r="AP10" s="336" t="s">
        <v>339</v>
      </c>
      <c r="AQ10" s="338">
        <f t="shared" si="13"/>
        <v>9.7759999999999998</v>
      </c>
      <c r="AR10" s="337">
        <f t="shared" si="14"/>
        <v>5</v>
      </c>
      <c r="AS10" s="339">
        <f t="shared" si="5"/>
        <v>0.51145662847790507</v>
      </c>
      <c r="AT10" s="384">
        <f t="shared" si="6"/>
        <v>-4.7759999999999998</v>
      </c>
    </row>
    <row r="11" spans="1:46" s="9" customFormat="1" ht="39.950000000000003" customHeight="1" x14ac:dyDescent="0.3">
      <c r="B11" s="134" t="s">
        <v>118</v>
      </c>
      <c r="C11" s="31">
        <f>SUM([16]A03!$J$26:$M$28)</f>
        <v>5</v>
      </c>
      <c r="D11" s="31">
        <f>SUM([17]A03!$J$26:$M$28)</f>
        <v>2</v>
      </c>
      <c r="E11" s="31">
        <f>SUM([18]A03!$J$26:$M$28)</f>
        <v>3</v>
      </c>
      <c r="F11" s="31">
        <f>SUM([19]A03!$J$26:$M$28)</f>
        <v>4</v>
      </c>
      <c r="G11" s="31">
        <f>SUM([20]A03!$J$26:$M$28)</f>
        <v>6</v>
      </c>
      <c r="H11" s="31"/>
      <c r="I11" s="31"/>
      <c r="J11" s="31"/>
      <c r="K11" s="31"/>
      <c r="L11" s="31"/>
      <c r="M11" s="31"/>
      <c r="N11" s="31"/>
      <c r="O11" s="32">
        <f t="shared" si="0"/>
        <v>20</v>
      </c>
      <c r="P11" s="125">
        <v>8</v>
      </c>
      <c r="Q11" s="57" cm="1">
        <f t="array" ref="Q11">SUM([16]A03!$J$23:$M$23-[16]A03!$J$40:$M$40)</f>
        <v>1</v>
      </c>
      <c r="R11" s="57" cm="1">
        <f t="array" ref="R11">SUM([17]A03!$J$23:$M$23-[17]A03!$J$40:$M$40)</f>
        <v>4</v>
      </c>
      <c r="S11" s="57" cm="1">
        <f t="array" ref="S11">SUM([18]A03!$J$23:$M$23-[18]A03!$J$40:$M$40)</f>
        <v>3</v>
      </c>
      <c r="T11" s="57" cm="1">
        <f t="array" ref="T11">SUM([19]A03!$J$23:$M$23-[19]A03!$J$40:$M$40)</f>
        <v>3</v>
      </c>
      <c r="U11" s="57" cm="1">
        <f t="array" ref="U11">SUM([20]A03!$J$23:$M$23-[20]A03!$J$40:$M$40)</f>
        <v>0</v>
      </c>
      <c r="V11" s="57"/>
      <c r="W11" s="57"/>
      <c r="X11" s="57"/>
      <c r="Y11" s="57"/>
      <c r="Z11" s="126"/>
      <c r="AA11" s="126"/>
      <c r="AB11" s="126"/>
      <c r="AC11" s="424">
        <f t="shared" si="1"/>
        <v>19</v>
      </c>
      <c r="AD11" s="421">
        <f t="shared" si="2"/>
        <v>1</v>
      </c>
      <c r="AE11" s="225">
        <f>'RESUMEN INDICADORES'!$F$3</f>
        <v>0.752</v>
      </c>
      <c r="AF11" s="15">
        <f t="shared" si="3"/>
        <v>1</v>
      </c>
      <c r="AG11" s="135">
        <f t="shared" si="4"/>
        <v>12.5</v>
      </c>
      <c r="AI11" s="322"/>
      <c r="AJ11" s="405">
        <f t="shared" si="7"/>
        <v>0.752</v>
      </c>
      <c r="AK11" s="405">
        <f t="shared" si="8"/>
        <v>1.0526315789473684</v>
      </c>
      <c r="AL11" s="405">
        <f t="shared" si="9"/>
        <v>1.3997760358342664</v>
      </c>
      <c r="AM11" s="337">
        <f t="shared" si="10"/>
        <v>19</v>
      </c>
      <c r="AN11" s="338">
        <f t="shared" si="11"/>
        <v>14.288</v>
      </c>
      <c r="AO11" s="337">
        <f t="shared" si="12"/>
        <v>20</v>
      </c>
      <c r="AP11" s="336" t="s">
        <v>339</v>
      </c>
      <c r="AQ11" s="338">
        <f t="shared" si="13"/>
        <v>14.288</v>
      </c>
      <c r="AR11" s="337">
        <f t="shared" si="14"/>
        <v>20</v>
      </c>
      <c r="AS11" s="339">
        <f t="shared" si="5"/>
        <v>1.3997760358342666</v>
      </c>
      <c r="AT11" s="384">
        <f t="shared" si="6"/>
        <v>5.7119999999999997</v>
      </c>
    </row>
    <row r="12" spans="1:46" s="9" customFormat="1" ht="39.950000000000003" customHeight="1" x14ac:dyDescent="0.3">
      <c r="B12" s="134" t="s">
        <v>122</v>
      </c>
      <c r="C12" s="31">
        <f>SUM([21]A03!$J$26:$M$28)</f>
        <v>0</v>
      </c>
      <c r="D12" s="31">
        <f>SUM([22]A03!$J$26:$M$28)</f>
        <v>0</v>
      </c>
      <c r="E12" s="31">
        <f>SUM([23]A03!$J$26:$M$28)</f>
        <v>0</v>
      </c>
      <c r="F12" s="31">
        <f>SUM([24]A03!$J$26:$M$28)</f>
        <v>0</v>
      </c>
      <c r="G12" s="31">
        <f>SUM([25]A03!$J$26:$M$28)</f>
        <v>1</v>
      </c>
      <c r="H12" s="31"/>
      <c r="I12" s="31"/>
      <c r="J12" s="31"/>
      <c r="K12" s="31"/>
      <c r="L12" s="31"/>
      <c r="M12" s="31"/>
      <c r="N12" s="31"/>
      <c r="O12" s="32">
        <f t="shared" si="0"/>
        <v>1</v>
      </c>
      <c r="P12" s="125">
        <v>0</v>
      </c>
      <c r="Q12" s="57" cm="1">
        <f t="array" ref="Q12">SUM([21]A03!$J$23:$M$23-[21]A03!$J$40:$M$40)</f>
        <v>0</v>
      </c>
      <c r="R12" s="57" cm="1">
        <f t="array" ref="R12">SUM([22]A03!$J$23:$M$23-[22]A03!$J$40:$M$40)</f>
        <v>0</v>
      </c>
      <c r="S12" s="57" cm="1">
        <f t="array" ref="S12">SUM([23]A03!$J$23:$M$23-[23]A03!$J$40:$M$40)</f>
        <v>1</v>
      </c>
      <c r="T12" s="57" cm="1">
        <f t="array" ref="T12">SUM([24]A03!$J$23:$M$23-[24]A03!$J$40:$M$40)</f>
        <v>0</v>
      </c>
      <c r="U12" s="57" cm="1">
        <f t="array" ref="U12">SUM([25]A03!$J$23:$M$23-[25]A03!$J$40:$M$40)</f>
        <v>0</v>
      </c>
      <c r="V12" s="57"/>
      <c r="W12" s="57"/>
      <c r="X12" s="57"/>
      <c r="Y12" s="57"/>
      <c r="Z12" s="126"/>
      <c r="AA12" s="126"/>
      <c r="AB12" s="126"/>
      <c r="AC12" s="424">
        <f t="shared" si="1"/>
        <v>1</v>
      </c>
      <c r="AD12" s="421">
        <f t="shared" si="2"/>
        <v>1</v>
      </c>
      <c r="AE12" s="225">
        <f>'RESUMEN INDICADORES'!$F$3</f>
        <v>0.752</v>
      </c>
      <c r="AF12" s="15">
        <f t="shared" si="3"/>
        <v>1</v>
      </c>
      <c r="AG12" s="135">
        <f t="shared" si="4"/>
        <v>12.5</v>
      </c>
      <c r="AJ12" s="405">
        <f t="shared" si="7"/>
        <v>0.752</v>
      </c>
      <c r="AK12" s="405">
        <f t="shared" si="8"/>
        <v>1</v>
      </c>
      <c r="AL12" s="405">
        <f t="shared" si="9"/>
        <v>1.3297872340425532</v>
      </c>
      <c r="AM12" s="337">
        <f t="shared" si="10"/>
        <v>1</v>
      </c>
      <c r="AN12" s="338">
        <f t="shared" si="11"/>
        <v>0.752</v>
      </c>
      <c r="AO12" s="337">
        <f t="shared" si="12"/>
        <v>1</v>
      </c>
      <c r="AP12" s="336" t="s">
        <v>339</v>
      </c>
      <c r="AQ12" s="338">
        <f t="shared" si="13"/>
        <v>0.752</v>
      </c>
      <c r="AR12" s="337">
        <f t="shared" si="14"/>
        <v>1</v>
      </c>
      <c r="AS12" s="339">
        <f t="shared" si="5"/>
        <v>1.3297872340425532</v>
      </c>
      <c r="AT12" s="384">
        <f t="shared" si="6"/>
        <v>0.248</v>
      </c>
    </row>
    <row r="13" spans="1:46" s="9" customFormat="1" ht="39.950000000000003" customHeight="1" x14ac:dyDescent="0.3">
      <c r="B13" s="134" t="s">
        <v>123</v>
      </c>
      <c r="C13" s="31">
        <f>SUM([26]A03!$J$26:$M$28)</f>
        <v>0</v>
      </c>
      <c r="D13" s="31">
        <f>SUM([27]A03!$J$26:$M$28)</f>
        <v>0</v>
      </c>
      <c r="E13" s="31">
        <f>SUM([28]A03!$J$26:$M$28)</f>
        <v>0</v>
      </c>
      <c r="F13" s="31">
        <f>SUM([29]A03!$J$26:$M$28)</f>
        <v>1</v>
      </c>
      <c r="G13" s="31">
        <f>SUM([30]A03!$J$26:$M$28)</f>
        <v>0</v>
      </c>
      <c r="H13" s="31"/>
      <c r="I13" s="31"/>
      <c r="J13" s="31"/>
      <c r="K13" s="31"/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SUM([26]A03!$J$23:$M$23-[26]A03!$J$40:$M$40)</f>
        <v>1</v>
      </c>
      <c r="R13" s="57" cm="1">
        <f t="array" ref="R13">SUM([27]A03!$J$23:$M$23-[27]A03!$J$40:$M$40)</f>
        <v>0</v>
      </c>
      <c r="S13" s="57" cm="1">
        <f t="array" ref="S13">SUM([28]A03!$J$23:$M$23-[28]A03!$J$40:$M$40)</f>
        <v>0</v>
      </c>
      <c r="T13" s="57" cm="1">
        <f t="array" ref="T13">SUM([29]A03!$J$23:$M$23-[29]A03!$J$40:$M$40)</f>
        <v>1</v>
      </c>
      <c r="U13" s="57" cm="1">
        <f t="array" ref="U13">SUM([30]A03!$J$23:$M$23-[30]A03!$J$40:$M$40)</f>
        <v>1</v>
      </c>
      <c r="V13" s="57"/>
      <c r="W13" s="57"/>
      <c r="X13" s="57"/>
      <c r="Y13" s="57"/>
      <c r="Z13" s="126"/>
      <c r="AA13" s="126"/>
      <c r="AB13" s="126"/>
      <c r="AC13" s="424">
        <f t="shared" si="1"/>
        <v>7</v>
      </c>
      <c r="AD13" s="421">
        <f t="shared" si="2"/>
        <v>0.14285714285714285</v>
      </c>
      <c r="AE13" s="225">
        <f>'RESUMEN INDICADORES'!$F$3</f>
        <v>0.752</v>
      </c>
      <c r="AF13" s="15">
        <f t="shared" si="3"/>
        <v>0.18996960486322187</v>
      </c>
      <c r="AG13" s="135">
        <f t="shared" si="4"/>
        <v>2.3746200607902734</v>
      </c>
      <c r="AJ13" s="405">
        <f t="shared" si="7"/>
        <v>0.752</v>
      </c>
      <c r="AK13" s="405">
        <f t="shared" si="8"/>
        <v>0.14285714285714285</v>
      </c>
      <c r="AL13" s="405">
        <f t="shared" si="9"/>
        <v>0.18996960486322187</v>
      </c>
      <c r="AM13" s="337">
        <f t="shared" si="10"/>
        <v>7</v>
      </c>
      <c r="AN13" s="338">
        <f t="shared" si="11"/>
        <v>5.2640000000000002</v>
      </c>
      <c r="AO13" s="337">
        <f t="shared" si="12"/>
        <v>1</v>
      </c>
      <c r="AP13" s="336" t="s">
        <v>339</v>
      </c>
      <c r="AQ13" s="338">
        <f t="shared" si="13"/>
        <v>5.2640000000000002</v>
      </c>
      <c r="AR13" s="337">
        <f t="shared" si="14"/>
        <v>1</v>
      </c>
      <c r="AS13" s="339">
        <f t="shared" si="5"/>
        <v>0.18996960486322187</v>
      </c>
      <c r="AT13" s="384">
        <f t="shared" si="6"/>
        <v>-4.2640000000000002</v>
      </c>
    </row>
    <row r="14" spans="1:46" s="9" customFormat="1" ht="39.950000000000003" customHeight="1" thickBot="1" x14ac:dyDescent="0.35">
      <c r="B14" s="136" t="s">
        <v>124</v>
      </c>
      <c r="C14" s="137">
        <f>SUM([31]A03!$J$26:$M$28)</f>
        <v>0</v>
      </c>
      <c r="D14" s="137">
        <f>SUM([32]A03!$J$26:$M$28)</f>
        <v>0</v>
      </c>
      <c r="E14" s="137">
        <f>SUM([33]A03!$J$26:$M$28)</f>
        <v>0</v>
      </c>
      <c r="F14" s="137">
        <f>SUM([34]A03!$J$26:$M$28)</f>
        <v>0</v>
      </c>
      <c r="G14" s="137">
        <f>SUM([35]A03!$J$26:$M$28)</f>
        <v>0</v>
      </c>
      <c r="H14" s="137"/>
      <c r="I14" s="137"/>
      <c r="J14" s="137"/>
      <c r="K14" s="137"/>
      <c r="L14" s="137"/>
      <c r="M14" s="137"/>
      <c r="N14" s="137"/>
      <c r="O14" s="138">
        <f t="shared" si="0"/>
        <v>0</v>
      </c>
      <c r="P14" s="139">
        <v>0</v>
      </c>
      <c r="Q14" s="140" cm="1">
        <f t="array" ref="Q14">SUM([31]A03!$J$23:$M$23-[31]A03!$J$40:$M$40)</f>
        <v>0</v>
      </c>
      <c r="R14" s="140" cm="1">
        <f t="array" ref="R14">SUM([32]A03!$J$23:$M$23-[32]A03!$J$40:$M$40)</f>
        <v>0</v>
      </c>
      <c r="S14" s="140" cm="1">
        <f t="array" ref="S14">SUM([33]A03!$J$23:$M$23-[33]A03!$J$40:$M$40)</f>
        <v>0</v>
      </c>
      <c r="T14" s="140" cm="1">
        <f t="array" ref="T14">SUM([34]A03!$J$23:$M$23-[34]A03!$J$40:$M$40)</f>
        <v>0</v>
      </c>
      <c r="U14" s="140" cm="1">
        <f t="array" ref="U14">SUM([35]A03!$J$23:$M$23-[35]A03!$J$40:$M$40)</f>
        <v>0</v>
      </c>
      <c r="V14" s="140"/>
      <c r="W14" s="140"/>
      <c r="X14" s="140"/>
      <c r="Y14" s="140"/>
      <c r="Z14" s="143"/>
      <c r="AA14" s="143"/>
      <c r="AB14" s="143"/>
      <c r="AC14" s="425">
        <f t="shared" si="1"/>
        <v>0</v>
      </c>
      <c r="AD14" s="422">
        <f t="shared" si="2"/>
        <v>1</v>
      </c>
      <c r="AE14" s="225">
        <f>'RESUMEN INDICADORES'!$F$3</f>
        <v>0.752</v>
      </c>
      <c r="AF14" s="141">
        <f t="shared" si="3"/>
        <v>1</v>
      </c>
      <c r="AG14" s="142">
        <f t="shared" si="4"/>
        <v>12.5</v>
      </c>
      <c r="AJ14" s="405">
        <f t="shared" si="7"/>
        <v>0.752</v>
      </c>
      <c r="AK14" s="405">
        <f>IFERROR(AO14/AM14,0)</f>
        <v>0</v>
      </c>
      <c r="AL14" s="405">
        <f t="shared" si="9"/>
        <v>0</v>
      </c>
      <c r="AM14" s="337">
        <f t="shared" si="10"/>
        <v>0</v>
      </c>
      <c r="AN14" s="338">
        <f t="shared" si="11"/>
        <v>0</v>
      </c>
      <c r="AO14" s="337">
        <f t="shared" si="12"/>
        <v>0</v>
      </c>
      <c r="AP14" s="336" t="s">
        <v>339</v>
      </c>
      <c r="AQ14" s="338">
        <f t="shared" si="13"/>
        <v>0</v>
      </c>
      <c r="AR14" s="337">
        <f t="shared" si="14"/>
        <v>0</v>
      </c>
      <c r="AS14" s="339">
        <f t="shared" si="5"/>
        <v>0</v>
      </c>
      <c r="AT14" s="384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342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14</v>
      </c>
      <c r="H16" s="34">
        <f t="shared" si="15"/>
        <v>0</v>
      </c>
      <c r="I16" s="34">
        <f t="shared" si="15"/>
        <v>0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45</v>
      </c>
      <c r="P16" s="129">
        <f>SUM(P8:P14)</f>
        <v>41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7</v>
      </c>
      <c r="V16" s="130">
        <f t="shared" si="16"/>
        <v>0</v>
      </c>
      <c r="W16" s="130">
        <f t="shared" si="16"/>
        <v>0</v>
      </c>
      <c r="X16" s="130">
        <f t="shared" si="16"/>
        <v>0</v>
      </c>
      <c r="Y16" s="130">
        <f t="shared" si="16"/>
        <v>0</v>
      </c>
      <c r="Z16" s="353">
        <f t="shared" si="16"/>
        <v>0</v>
      </c>
      <c r="AA16" s="131">
        <f t="shared" si="16"/>
        <v>0</v>
      </c>
      <c r="AB16" s="131">
        <f t="shared" si="16"/>
        <v>0</v>
      </c>
      <c r="AC16" s="354">
        <f t="shared" si="1"/>
        <v>74</v>
      </c>
      <c r="AD16" s="403">
        <f t="shared" ref="AD16" si="17">IF(AND(O16=0,AC16=0),1,IF(AC16=0,0,IF(AC16&lt;=O16,1,+O16/AC16)))</f>
        <v>0.60810810810810811</v>
      </c>
      <c r="AE16" s="404">
        <f>'RESUMEN INDICADORES'!$F$3</f>
        <v>0.752</v>
      </c>
      <c r="AF16" s="402">
        <f t="shared" si="3"/>
        <v>0.80865439907993097</v>
      </c>
      <c r="AG16" s="55">
        <f t="shared" si="4"/>
        <v>10.108179988499137</v>
      </c>
      <c r="AJ16" s="405">
        <f t="shared" ref="AJ16" si="18">AE16</f>
        <v>0.752</v>
      </c>
      <c r="AK16" s="405">
        <f t="shared" ref="AK16" si="19">AO16/AM16</f>
        <v>0.60810810810810811</v>
      </c>
      <c r="AL16" s="405">
        <f t="shared" ref="AL16" si="20">AK16/AJ16</f>
        <v>0.80865439907993097</v>
      </c>
      <c r="AM16" s="337">
        <f t="shared" ref="AM16" si="21">AC16</f>
        <v>74</v>
      </c>
      <c r="AN16" s="338">
        <f t="shared" ref="AN16" si="22">AM16*AJ16</f>
        <v>55.648000000000003</v>
      </c>
      <c r="AO16" s="337">
        <f t="shared" ref="AO16" si="23">O16</f>
        <v>45</v>
      </c>
      <c r="AP16" s="336" t="s">
        <v>339</v>
      </c>
      <c r="AQ16" s="338">
        <f t="shared" ref="AQ16" si="24">AC16*AJ16</f>
        <v>55.648000000000003</v>
      </c>
      <c r="AR16" s="337">
        <f t="shared" ref="AR16" si="25">O16</f>
        <v>45</v>
      </c>
      <c r="AS16" s="339">
        <f t="shared" ref="AS16" si="26">AR16/AQ16</f>
        <v>0.80865439907993097</v>
      </c>
      <c r="AT16" s="384">
        <f t="shared" si="6"/>
        <v>-10.648000000000003</v>
      </c>
    </row>
    <row r="17" spans="1:46" s="2" customFormat="1" ht="28.5" customHeight="1" thickBot="1" x14ac:dyDescent="0.35">
      <c r="A17" s="124"/>
      <c r="B17" s="17" t="s">
        <v>125</v>
      </c>
      <c r="C17" s="355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J17" s="335"/>
      <c r="AK17" s="335"/>
      <c r="AL17" s="335"/>
      <c r="AM17" s="337"/>
      <c r="AN17" s="338"/>
      <c r="AO17" s="337"/>
      <c r="AP17" s="336"/>
      <c r="AQ17" s="338"/>
      <c r="AR17" s="337"/>
      <c r="AS17" s="339"/>
      <c r="AT17" s="338"/>
    </row>
    <row r="18" spans="1:4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28"/>
      <c r="AF18" s="21"/>
      <c r="AG18" s="21"/>
    </row>
    <row r="19" spans="1:46" x14ac:dyDescent="0.25">
      <c r="B19" s="132" t="s">
        <v>207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46" s="121" customFormat="1" x14ac:dyDescent="0.25">
      <c r="A20" s="61"/>
      <c r="B20" s="1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6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92D050"/>
  </sheetPr>
  <dimension ref="A1:AC3685"/>
  <sheetViews>
    <sheetView showGridLines="0" topLeftCell="B1" zoomScale="80" zoomScaleNormal="80" workbookViewId="0">
      <selection activeCell="J30" sqref="J30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35.42578125" style="2" hidden="1" customWidth="1"/>
    <col min="14" max="14" width="24.28515625" style="2" hidden="1" customWidth="1"/>
    <col min="15" max="15" width="19.2851562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492" t="s">
        <v>23</v>
      </c>
      <c r="C1" s="492"/>
      <c r="D1" s="492"/>
      <c r="E1" s="492"/>
      <c r="F1" s="492"/>
      <c r="G1" s="492"/>
      <c r="H1" s="493"/>
      <c r="I1" s="493"/>
      <c r="J1" s="493"/>
      <c r="K1" s="493"/>
      <c r="Q1" s="61"/>
      <c r="R1" s="61"/>
      <c r="S1" s="61"/>
      <c r="T1" s="61"/>
      <c r="U1" s="61"/>
      <c r="V1" s="61"/>
      <c r="W1" s="323" t="s">
        <v>169</v>
      </c>
      <c r="X1" s="327">
        <v>12</v>
      </c>
      <c r="Y1" s="61"/>
      <c r="Z1" s="61"/>
      <c r="AA1" s="61"/>
    </row>
    <row r="2" spans="1:27" ht="30.75" thickBot="1" x14ac:dyDescent="0.35">
      <c r="B2" s="450" t="s">
        <v>349</v>
      </c>
      <c r="C2" s="480"/>
      <c r="D2" s="480"/>
      <c r="E2" s="480"/>
      <c r="F2" s="480"/>
      <c r="G2" s="480"/>
      <c r="H2" s="451"/>
      <c r="I2" s="451"/>
      <c r="J2" s="451"/>
      <c r="K2" s="452"/>
      <c r="Q2" s="325"/>
      <c r="R2" s="325"/>
      <c r="S2" s="325"/>
      <c r="T2" s="326"/>
      <c r="U2" s="325"/>
      <c r="V2" s="325"/>
      <c r="W2" s="333" t="s">
        <v>170</v>
      </c>
      <c r="X2" s="327">
        <v>5</v>
      </c>
      <c r="Y2" s="328"/>
      <c r="Z2" s="328"/>
      <c r="AA2" s="325"/>
    </row>
    <row r="3" spans="1:27" ht="21.75" thickBot="1" x14ac:dyDescent="0.35">
      <c r="B3" s="113"/>
      <c r="C3" s="506" t="s">
        <v>127</v>
      </c>
      <c r="D3" s="507"/>
      <c r="E3" s="507"/>
      <c r="F3" s="508"/>
      <c r="G3" s="219" t="s">
        <v>340</v>
      </c>
      <c r="H3" s="3"/>
      <c r="I3" s="3"/>
      <c r="J3" s="3"/>
      <c r="K3" s="4"/>
      <c r="M3" s="306"/>
      <c r="N3" s="306"/>
      <c r="O3" s="306"/>
      <c r="Q3" s="445" t="s">
        <v>171</v>
      </c>
      <c r="R3" s="445" t="s">
        <v>172</v>
      </c>
      <c r="S3" s="445" t="s">
        <v>173</v>
      </c>
      <c r="T3" s="445" t="s">
        <v>174</v>
      </c>
      <c r="U3" s="445" t="s">
        <v>175</v>
      </c>
      <c r="V3" s="445" t="s">
        <v>176</v>
      </c>
      <c r="W3" s="445" t="s">
        <v>206</v>
      </c>
      <c r="X3" s="445" t="s">
        <v>205</v>
      </c>
      <c r="Y3" s="445" t="s">
        <v>177</v>
      </c>
      <c r="Z3" s="445" t="s">
        <v>178</v>
      </c>
      <c r="AA3" s="445" t="s">
        <v>179</v>
      </c>
    </row>
    <row r="4" spans="1:27" ht="23.25" customHeight="1" thickBot="1" x14ac:dyDescent="0.35">
      <c r="A4" s="484" t="s">
        <v>117</v>
      </c>
      <c r="B4" s="484" t="s">
        <v>110</v>
      </c>
      <c r="C4" s="494" t="s">
        <v>17</v>
      </c>
      <c r="D4" s="495"/>
      <c r="E4" s="495"/>
      <c r="F4" s="495"/>
      <c r="G4" s="114" t="s">
        <v>18</v>
      </c>
      <c r="H4" s="496" t="s">
        <v>11</v>
      </c>
      <c r="I4" s="462"/>
      <c r="J4" s="462"/>
      <c r="K4" s="462"/>
      <c r="M4" s="486" t="s">
        <v>344</v>
      </c>
      <c r="N4" s="486" t="s">
        <v>25</v>
      </c>
      <c r="O4" s="489" t="s">
        <v>25</v>
      </c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</row>
    <row r="5" spans="1:27" ht="30.75" customHeight="1" thickBot="1" x14ac:dyDescent="0.35">
      <c r="A5" s="485"/>
      <c r="B5" s="485"/>
      <c r="C5" s="497" t="s">
        <v>24</v>
      </c>
      <c r="D5" s="498"/>
      <c r="E5" s="498"/>
      <c r="F5" s="498"/>
      <c r="G5" s="499" t="s">
        <v>25</v>
      </c>
      <c r="H5" s="462"/>
      <c r="I5" s="462"/>
      <c r="J5" s="462"/>
      <c r="K5" s="462"/>
      <c r="M5" s="487"/>
      <c r="N5" s="487"/>
      <c r="O5" s="490"/>
      <c r="Q5" s="481" t="s">
        <v>180</v>
      </c>
      <c r="R5" s="481" t="s">
        <v>181</v>
      </c>
      <c r="S5" s="481" t="s">
        <v>182</v>
      </c>
      <c r="T5" s="482" t="s">
        <v>183</v>
      </c>
      <c r="U5" s="482" t="s">
        <v>184</v>
      </c>
      <c r="V5" s="482" t="s">
        <v>185</v>
      </c>
      <c r="W5" s="482" t="s">
        <v>204</v>
      </c>
      <c r="X5" s="482" t="s">
        <v>187</v>
      </c>
      <c r="Y5" s="482" t="s">
        <v>188</v>
      </c>
      <c r="Z5" s="481" t="s">
        <v>189</v>
      </c>
      <c r="AA5" s="481" t="s">
        <v>190</v>
      </c>
    </row>
    <row r="6" spans="1:27" ht="42.75" customHeight="1" thickBot="1" x14ac:dyDescent="0.35">
      <c r="A6" s="485"/>
      <c r="B6" s="485"/>
      <c r="C6" s="501" t="s">
        <v>26</v>
      </c>
      <c r="D6" s="502"/>
      <c r="E6" s="502"/>
      <c r="F6" s="503"/>
      <c r="G6" s="500"/>
      <c r="H6" s="504" t="s">
        <v>12</v>
      </c>
      <c r="I6" s="504" t="s">
        <v>13</v>
      </c>
      <c r="J6" s="475" t="s">
        <v>14</v>
      </c>
      <c r="K6" s="471" t="s">
        <v>20</v>
      </c>
      <c r="M6" s="488"/>
      <c r="N6" s="488"/>
      <c r="O6" s="491"/>
      <c r="Q6" s="481"/>
      <c r="R6" s="481"/>
      <c r="S6" s="481"/>
      <c r="T6" s="482"/>
      <c r="U6" s="482"/>
      <c r="V6" s="482"/>
      <c r="W6" s="482"/>
      <c r="X6" s="482"/>
      <c r="Y6" s="482"/>
      <c r="Z6" s="481"/>
      <c r="AA6" s="481"/>
    </row>
    <row r="7" spans="1:27" s="9" customFormat="1" ht="35.25" thickBot="1" x14ac:dyDescent="0.3">
      <c r="A7" s="485"/>
      <c r="B7" s="485"/>
      <c r="C7" s="145" t="s">
        <v>27</v>
      </c>
      <c r="D7" s="145" t="s">
        <v>28</v>
      </c>
      <c r="E7" s="145" t="s">
        <v>29</v>
      </c>
      <c r="F7" s="145" t="s">
        <v>30</v>
      </c>
      <c r="G7" s="500"/>
      <c r="H7" s="505"/>
      <c r="I7" s="505"/>
      <c r="J7" s="483"/>
      <c r="K7" s="472"/>
      <c r="M7" s="299" t="s">
        <v>27</v>
      </c>
      <c r="N7" s="171" t="s">
        <v>28</v>
      </c>
      <c r="O7" s="298" t="s">
        <v>29</v>
      </c>
      <c r="Q7" s="334" t="s">
        <v>191</v>
      </c>
      <c r="R7" s="334" t="s">
        <v>192</v>
      </c>
      <c r="S7" s="334" t="s">
        <v>193</v>
      </c>
      <c r="T7" s="334" t="s">
        <v>194</v>
      </c>
      <c r="U7" s="334" t="s">
        <v>195</v>
      </c>
      <c r="V7" s="334" t="s">
        <v>196</v>
      </c>
      <c r="W7" s="334" t="s">
        <v>197</v>
      </c>
      <c r="X7" s="334" t="s">
        <v>198</v>
      </c>
      <c r="Y7" s="334" t="s">
        <v>199</v>
      </c>
      <c r="Z7" s="334" t="s">
        <v>200</v>
      </c>
      <c r="AA7" s="341" t="s">
        <v>201</v>
      </c>
    </row>
    <row r="8" spans="1:27" s="9" customFormat="1" ht="18" thickBot="1" x14ac:dyDescent="0.35">
      <c r="A8" s="144"/>
      <c r="B8" s="221" t="s">
        <v>121</v>
      </c>
      <c r="C8" s="303">
        <f>SUM('[36]Marzo-ex'!$C$157:$C$164)</f>
        <v>3066</v>
      </c>
      <c r="D8" s="147"/>
      <c r="E8" s="147"/>
      <c r="F8" s="147"/>
      <c r="G8" s="307">
        <f>M8</f>
        <v>5635.7176000000009</v>
      </c>
      <c r="H8" s="226">
        <f>IF(G8=0,0,IF(G8&lt;=C8,1,+C8/G8))</f>
        <v>0.54403009831436544</v>
      </c>
      <c r="I8" s="226">
        <f>'RESUMEN INDICADORES'!$F$4</f>
        <v>0.45389228026578793</v>
      </c>
      <c r="J8" s="230">
        <f t="shared" ref="J8:J14" si="0">IF(H8&gt;=I8,1,+H8/I8)</f>
        <v>1</v>
      </c>
      <c r="K8" s="200">
        <f t="shared" ref="K8:K14" si="1">IF(H8&gt;=1,12.5,((H8)*12.5))</f>
        <v>6.8003762289295677</v>
      </c>
      <c r="M8" s="300">
        <f>Poblac!F5</f>
        <v>5635.7176000000009</v>
      </c>
      <c r="N8" s="300"/>
      <c r="O8" s="300"/>
      <c r="Q8" s="405">
        <f t="shared" ref="Q8:Q14" si="2">I8</f>
        <v>0.45389228026578793</v>
      </c>
      <c r="R8" s="405">
        <f>V8/T8</f>
        <v>0.54403009831436544</v>
      </c>
      <c r="S8" s="405">
        <f>R8/Q8</f>
        <v>1.1985885681858151</v>
      </c>
      <c r="T8" s="337">
        <f t="shared" ref="T8:T13" si="3">G8</f>
        <v>5635.7176000000009</v>
      </c>
      <c r="U8" s="337">
        <f>T8*Q8</f>
        <v>2558.0087123980343</v>
      </c>
      <c r="V8" s="337">
        <f>C8</f>
        <v>3066</v>
      </c>
      <c r="W8" s="337">
        <f t="shared" ref="W8:W14" si="4">G8</f>
        <v>5635.7176000000009</v>
      </c>
      <c r="X8" s="338">
        <f>W8*Q8</f>
        <v>2558.0087123980343</v>
      </c>
      <c r="Y8" s="337">
        <f>C8</f>
        <v>3066</v>
      </c>
      <c r="Z8" s="339">
        <f t="shared" ref="Z8:Z16" si="5">IFERROR(Y8/X8,0)</f>
        <v>1.1985885681858151</v>
      </c>
      <c r="AA8" s="414">
        <f t="shared" ref="AA8:AA16" si="6">(X8-Y8)*-1</f>
        <v>507.99128760196572</v>
      </c>
    </row>
    <row r="9" spans="1:27" s="9" customFormat="1" ht="18" thickBot="1" x14ac:dyDescent="0.35">
      <c r="A9" s="144"/>
      <c r="B9" s="222" t="s">
        <v>119</v>
      </c>
      <c r="C9" s="303">
        <f>SUM('[37]Marzo-ex'!$C$157:$C$164)</f>
        <v>2838</v>
      </c>
      <c r="D9" s="13"/>
      <c r="E9" s="13"/>
      <c r="F9" s="13"/>
      <c r="G9" s="307">
        <f>M9</f>
        <v>7096</v>
      </c>
      <c r="H9" s="226">
        <f t="shared" ref="H9:H14" si="7">IF(G9=0,0,IF(G9&lt;=C9,1,+C9/G9))</f>
        <v>0.3999436302142052</v>
      </c>
      <c r="I9" s="226">
        <f>'RESUMEN INDICADORES'!$F$4</f>
        <v>0.45389228026578793</v>
      </c>
      <c r="J9" s="231">
        <f t="shared" si="0"/>
        <v>0.88114217316057508</v>
      </c>
      <c r="K9" s="203">
        <f t="shared" si="1"/>
        <v>4.9992953776775648</v>
      </c>
      <c r="M9" s="300">
        <f>Poblac!F6</f>
        <v>7096</v>
      </c>
      <c r="N9" s="301"/>
      <c r="O9" s="301"/>
      <c r="Q9" s="405">
        <f t="shared" si="2"/>
        <v>0.45389228026578793</v>
      </c>
      <c r="R9" s="405">
        <f t="shared" ref="R9:R14" si="8">V9/T9</f>
        <v>0.3999436302142052</v>
      </c>
      <c r="S9" s="405">
        <f t="shared" ref="S9:S14" si="9">R9/Q9</f>
        <v>0.88114217316057508</v>
      </c>
      <c r="T9" s="337">
        <f t="shared" si="3"/>
        <v>7096</v>
      </c>
      <c r="U9" s="337">
        <f t="shared" ref="U9:U14" si="10">T9*Q9</f>
        <v>3220.8196207660312</v>
      </c>
      <c r="V9" s="337">
        <f t="shared" ref="V9:V14" si="11">C9</f>
        <v>2838</v>
      </c>
      <c r="W9" s="337">
        <f t="shared" si="4"/>
        <v>7096</v>
      </c>
      <c r="X9" s="338">
        <f t="shared" ref="X9:X16" si="12">W9*Q9</f>
        <v>3220.8196207660312</v>
      </c>
      <c r="Y9" s="337">
        <f t="shared" ref="Y9:Y14" si="13">C9</f>
        <v>2838</v>
      </c>
      <c r="Z9" s="339">
        <f t="shared" si="5"/>
        <v>0.88114217316057508</v>
      </c>
      <c r="AA9" s="414">
        <f t="shared" si="6"/>
        <v>-382.81962076603122</v>
      </c>
    </row>
    <row r="10" spans="1:27" s="9" customFormat="1" ht="18" thickBot="1" x14ac:dyDescent="0.35">
      <c r="A10" s="144"/>
      <c r="B10" s="222" t="s">
        <v>120</v>
      </c>
      <c r="C10" s="304">
        <f>SUM('[38]Marzo-ex'!$C$157:$C$164)</f>
        <v>2127</v>
      </c>
      <c r="D10" s="13"/>
      <c r="E10" s="13"/>
      <c r="F10" s="13"/>
      <c r="G10" s="307">
        <f t="shared" ref="G10:G14" si="14">M10</f>
        <v>5434</v>
      </c>
      <c r="H10" s="226">
        <f t="shared" si="7"/>
        <v>0.39142436510857564</v>
      </c>
      <c r="I10" s="226">
        <f>'RESUMEN INDICADORES'!$F$4</f>
        <v>0.45389228026578793</v>
      </c>
      <c r="J10" s="231">
        <f t="shared" si="0"/>
        <v>0.86237281867708204</v>
      </c>
      <c r="K10" s="203">
        <f t="shared" si="1"/>
        <v>4.8928045638571955</v>
      </c>
      <c r="M10" s="300">
        <f>Poblac!F7</f>
        <v>5434</v>
      </c>
      <c r="N10" s="301"/>
      <c r="O10" s="301"/>
      <c r="Q10" s="405">
        <f t="shared" si="2"/>
        <v>0.45389228026578793</v>
      </c>
      <c r="R10" s="405">
        <f t="shared" si="8"/>
        <v>0.39142436510857564</v>
      </c>
      <c r="S10" s="405">
        <f>R10/Q10</f>
        <v>0.86237281867708204</v>
      </c>
      <c r="T10" s="337">
        <f t="shared" si="3"/>
        <v>5434</v>
      </c>
      <c r="U10" s="337">
        <f t="shared" si="10"/>
        <v>2466.4506509642915</v>
      </c>
      <c r="V10" s="337">
        <f t="shared" si="11"/>
        <v>2127</v>
      </c>
      <c r="W10" s="337">
        <f t="shared" si="4"/>
        <v>5434</v>
      </c>
      <c r="X10" s="338">
        <f t="shared" si="12"/>
        <v>2466.4506509642915</v>
      </c>
      <c r="Y10" s="337">
        <f t="shared" si="13"/>
        <v>2127</v>
      </c>
      <c r="Z10" s="339">
        <f t="shared" si="5"/>
        <v>0.86237281867708204</v>
      </c>
      <c r="AA10" s="414">
        <f t="shared" si="6"/>
        <v>-339.45065096429153</v>
      </c>
    </row>
    <row r="11" spans="1:27" s="9" customFormat="1" ht="18" thickBot="1" x14ac:dyDescent="0.35">
      <c r="A11" s="144"/>
      <c r="B11" s="222" t="s">
        <v>118</v>
      </c>
      <c r="C11" s="304">
        <f>SUM('[39]Marzo-ex'!$C$157:$C$164)</f>
        <v>3347</v>
      </c>
      <c r="D11" s="13"/>
      <c r="E11" s="13"/>
      <c r="F11" s="13"/>
      <c r="G11" s="307">
        <f t="shared" si="14"/>
        <v>11204.423999999999</v>
      </c>
      <c r="H11" s="226">
        <f t="shared" si="7"/>
        <v>0.298721290804418</v>
      </c>
      <c r="I11" s="226">
        <f>'RESUMEN INDICADORES'!$F$4</f>
        <v>0.45389228026578793</v>
      </c>
      <c r="J11" s="231">
        <f t="shared" si="0"/>
        <v>0.65813256535117604</v>
      </c>
      <c r="K11" s="203">
        <f t="shared" si="1"/>
        <v>3.7340161350552252</v>
      </c>
      <c r="M11" s="300">
        <f>Poblac!F8</f>
        <v>11204.423999999999</v>
      </c>
      <c r="N11" s="301"/>
      <c r="O11" s="301"/>
      <c r="Q11" s="405">
        <f t="shared" si="2"/>
        <v>0.45389228026578793</v>
      </c>
      <c r="R11" s="405">
        <f t="shared" si="8"/>
        <v>0.298721290804418</v>
      </c>
      <c r="S11" s="405">
        <f t="shared" si="9"/>
        <v>0.65813256535117604</v>
      </c>
      <c r="T11" s="337">
        <f t="shared" si="3"/>
        <v>11204.423999999999</v>
      </c>
      <c r="U11" s="337">
        <f t="shared" si="10"/>
        <v>5085.6015584247198</v>
      </c>
      <c r="V11" s="337">
        <f t="shared" si="11"/>
        <v>3347</v>
      </c>
      <c r="W11" s="337">
        <f t="shared" si="4"/>
        <v>11204.423999999999</v>
      </c>
      <c r="X11" s="338">
        <f t="shared" si="12"/>
        <v>5085.6015584247198</v>
      </c>
      <c r="Y11" s="337">
        <f t="shared" si="13"/>
        <v>3347</v>
      </c>
      <c r="Z11" s="339">
        <f t="shared" si="5"/>
        <v>0.65813256535117615</v>
      </c>
      <c r="AA11" s="414">
        <f t="shared" si="6"/>
        <v>-1738.6015584247198</v>
      </c>
    </row>
    <row r="12" spans="1:27" s="9" customFormat="1" ht="35.25" thickBot="1" x14ac:dyDescent="0.35">
      <c r="A12" s="144"/>
      <c r="B12" s="222" t="s">
        <v>122</v>
      </c>
      <c r="C12" s="304">
        <f>SUM('[40]Marzo-ex'!$C$157:$C$164)</f>
        <v>1254</v>
      </c>
      <c r="D12" s="13"/>
      <c r="E12" s="13"/>
      <c r="F12" s="13"/>
      <c r="G12" s="307">
        <f t="shared" si="14"/>
        <v>6017</v>
      </c>
      <c r="H12" s="226">
        <f t="shared" si="7"/>
        <v>0.20840950639853748</v>
      </c>
      <c r="I12" s="226">
        <f>'RESUMEN INDICADORES'!$F$4</f>
        <v>0.45389228026578793</v>
      </c>
      <c r="J12" s="231">
        <f t="shared" si="0"/>
        <v>0.45916072041696349</v>
      </c>
      <c r="K12" s="203">
        <f t="shared" si="1"/>
        <v>2.6051188299817185</v>
      </c>
      <c r="M12" s="300">
        <f>Poblac!F9</f>
        <v>6017</v>
      </c>
      <c r="N12" s="301"/>
      <c r="O12" s="301"/>
      <c r="Q12" s="405">
        <f t="shared" si="2"/>
        <v>0.45389228026578793</v>
      </c>
      <c r="R12" s="405">
        <f t="shared" si="8"/>
        <v>0.20840950639853748</v>
      </c>
      <c r="S12" s="405">
        <f t="shared" si="9"/>
        <v>0.45916072041696349</v>
      </c>
      <c r="T12" s="337">
        <f t="shared" si="3"/>
        <v>6017</v>
      </c>
      <c r="U12" s="337">
        <f t="shared" si="10"/>
        <v>2731.0698503592462</v>
      </c>
      <c r="V12" s="337">
        <f t="shared" si="11"/>
        <v>1254</v>
      </c>
      <c r="W12" s="337">
        <f t="shared" si="4"/>
        <v>6017</v>
      </c>
      <c r="X12" s="338">
        <f t="shared" si="12"/>
        <v>2731.0698503592462</v>
      </c>
      <c r="Y12" s="337">
        <f t="shared" si="13"/>
        <v>1254</v>
      </c>
      <c r="Z12" s="339">
        <f t="shared" si="5"/>
        <v>0.45916072041696343</v>
      </c>
      <c r="AA12" s="414">
        <f t="shared" si="6"/>
        <v>-1477.0698503592462</v>
      </c>
    </row>
    <row r="13" spans="1:27" s="9" customFormat="1" ht="35.25" thickBot="1" x14ac:dyDescent="0.35">
      <c r="A13" s="144"/>
      <c r="B13" s="222" t="s">
        <v>123</v>
      </c>
      <c r="C13" s="304">
        <f>SUM('[41]Marzo-ex'!$C$157:$C$164)</f>
        <v>675</v>
      </c>
      <c r="D13" s="13"/>
      <c r="E13" s="13"/>
      <c r="F13" s="13"/>
      <c r="G13" s="307">
        <f t="shared" si="14"/>
        <v>1487.2823999999998</v>
      </c>
      <c r="H13" s="226">
        <f t="shared" si="7"/>
        <v>0.45384790406986603</v>
      </c>
      <c r="I13" s="226">
        <f>'RESUMEN INDICADORES'!$F$4</f>
        <v>0.45389228026578793</v>
      </c>
      <c r="J13" s="231">
        <f t="shared" si="0"/>
        <v>0.99990223187780169</v>
      </c>
      <c r="K13" s="203">
        <f t="shared" si="1"/>
        <v>5.6730988008733254</v>
      </c>
      <c r="M13" s="300">
        <f>Poblac!F10</f>
        <v>1487.2823999999998</v>
      </c>
      <c r="N13" s="301"/>
      <c r="O13" s="301"/>
      <c r="Q13" s="405">
        <f t="shared" si="2"/>
        <v>0.45389228026578793</v>
      </c>
      <c r="R13" s="405">
        <f t="shared" si="8"/>
        <v>0.45384790406986603</v>
      </c>
      <c r="S13" s="405">
        <f t="shared" si="9"/>
        <v>0.99990223187780169</v>
      </c>
      <c r="T13" s="337">
        <f t="shared" si="3"/>
        <v>1487.2823999999998</v>
      </c>
      <c r="U13" s="337">
        <f t="shared" si="10"/>
        <v>675.06599993517364</v>
      </c>
      <c r="V13" s="337">
        <f t="shared" si="11"/>
        <v>675</v>
      </c>
      <c r="W13" s="337">
        <f t="shared" si="4"/>
        <v>1487.2823999999998</v>
      </c>
      <c r="X13" s="338">
        <f t="shared" si="12"/>
        <v>675.06599993517364</v>
      </c>
      <c r="Y13" s="337">
        <f t="shared" si="13"/>
        <v>675</v>
      </c>
      <c r="Z13" s="339">
        <f t="shared" si="5"/>
        <v>0.99990223187780158</v>
      </c>
      <c r="AA13" s="414">
        <f t="shared" si="6"/>
        <v>-6.5999935173636004E-2</v>
      </c>
    </row>
    <row r="14" spans="1:27" s="9" customFormat="1" ht="18" thickBot="1" x14ac:dyDescent="0.35">
      <c r="A14" s="144"/>
      <c r="B14" s="223" t="s">
        <v>124</v>
      </c>
      <c r="C14" s="305">
        <f>SUM('[42]Marzo-ex'!$C$157:$C$164)</f>
        <v>72</v>
      </c>
      <c r="D14" s="148"/>
      <c r="E14" s="148"/>
      <c r="F14" s="148"/>
      <c r="G14" s="390">
        <f t="shared" si="14"/>
        <v>147.57599999999999</v>
      </c>
      <c r="H14" s="391">
        <f t="shared" si="7"/>
        <v>0.48788420881444139</v>
      </c>
      <c r="I14" s="391">
        <f>'RESUMEN INDICADORES'!$F$4</f>
        <v>0.45389228026578793</v>
      </c>
      <c r="J14" s="232">
        <f t="shared" si="0"/>
        <v>1</v>
      </c>
      <c r="K14" s="206">
        <f t="shared" si="1"/>
        <v>6.0985526101805174</v>
      </c>
      <c r="M14" s="389">
        <f>Poblac!F11</f>
        <v>147.57599999999999</v>
      </c>
      <c r="N14" s="302"/>
      <c r="O14" s="302"/>
      <c r="Q14" s="405">
        <f t="shared" si="2"/>
        <v>0.45389228026578793</v>
      </c>
      <c r="R14" s="405">
        <f t="shared" si="8"/>
        <v>0.48788420881444139</v>
      </c>
      <c r="S14" s="405">
        <f t="shared" si="9"/>
        <v>1.074889858291374</v>
      </c>
      <c r="T14" s="337">
        <f>G14</f>
        <v>147.57599999999999</v>
      </c>
      <c r="U14" s="337">
        <f t="shared" si="10"/>
        <v>66.983607152503922</v>
      </c>
      <c r="V14" s="337">
        <f t="shared" si="11"/>
        <v>72</v>
      </c>
      <c r="W14" s="337">
        <f t="shared" si="4"/>
        <v>147.57599999999999</v>
      </c>
      <c r="X14" s="338">
        <f t="shared" si="12"/>
        <v>66.983607152503922</v>
      </c>
      <c r="Y14" s="337">
        <f t="shared" si="13"/>
        <v>72</v>
      </c>
      <c r="Z14" s="339">
        <f t="shared" si="5"/>
        <v>1.074889858291374</v>
      </c>
      <c r="AA14" s="414">
        <f t="shared" si="6"/>
        <v>5.0163928474960784</v>
      </c>
    </row>
    <row r="15" spans="1:27" s="9" customFormat="1" ht="18" thickBot="1" x14ac:dyDescent="0.3">
      <c r="U15" s="407"/>
      <c r="AA15" s="407"/>
    </row>
    <row r="16" spans="1:27" s="9" customFormat="1" ht="18" thickBot="1" x14ac:dyDescent="0.35">
      <c r="A16" s="144"/>
      <c r="B16" s="166" t="s">
        <v>126</v>
      </c>
      <c r="C16" s="174">
        <f>SUM(C8:C14)</f>
        <v>13379</v>
      </c>
      <c r="D16" s="174">
        <f t="shared" ref="D16:F16" si="15">SUM(D8:D14)</f>
        <v>0</v>
      </c>
      <c r="E16" s="220">
        <f t="shared" si="15"/>
        <v>0</v>
      </c>
      <c r="F16" s="220">
        <f t="shared" si="15"/>
        <v>0</v>
      </c>
      <c r="G16" s="185">
        <f>SUM(G8:G14)</f>
        <v>37022</v>
      </c>
      <c r="H16" s="18">
        <f>IF(G16=0,0,IF(G16&lt;=C16,1,+C16/G16))</f>
        <v>0.36137972016638753</v>
      </c>
      <c r="I16" s="391">
        <f>'RESUMEN INDICADORES'!$F$4</f>
        <v>0.45389228026578793</v>
      </c>
      <c r="J16" s="19">
        <f t="shared" ref="J16" si="16">IF(H16&gt;=I16,1,+H16/I16)</f>
        <v>0.79617948107593417</v>
      </c>
      <c r="K16" s="20">
        <f t="shared" ref="K16" si="17">IF(H16&gt;=1,12.5,((H16)*12.5))</f>
        <v>4.5172465020798445</v>
      </c>
      <c r="M16" s="174">
        <f>SUM(M8:M14)</f>
        <v>37022</v>
      </c>
      <c r="N16" s="174">
        <f t="shared" ref="N16:O16" si="18">SUM(N8:N14)</f>
        <v>0</v>
      </c>
      <c r="O16" s="220">
        <f t="shared" si="18"/>
        <v>0</v>
      </c>
      <c r="Q16" s="405">
        <f>I16</f>
        <v>0.45389228026578793</v>
      </c>
      <c r="R16" s="405">
        <f t="shared" ref="R16" si="19">V16/T16</f>
        <v>0.36137972016638753</v>
      </c>
      <c r="S16" s="405">
        <f>R16/Q16</f>
        <v>0.79617948107593417</v>
      </c>
      <c r="T16" s="337">
        <f>G16</f>
        <v>37022</v>
      </c>
      <c r="U16" s="337">
        <f>T16*Q16</f>
        <v>16804</v>
      </c>
      <c r="V16" s="337">
        <f>C16</f>
        <v>13379</v>
      </c>
      <c r="W16" s="337">
        <f>G16</f>
        <v>37022</v>
      </c>
      <c r="X16" s="338">
        <f t="shared" si="12"/>
        <v>16804</v>
      </c>
      <c r="Y16" s="337">
        <f>C16</f>
        <v>13379</v>
      </c>
      <c r="Z16" s="339">
        <f t="shared" si="5"/>
        <v>0.79617948107593428</v>
      </c>
      <c r="AA16" s="414">
        <f t="shared" si="6"/>
        <v>-3425</v>
      </c>
    </row>
    <row r="17" spans="2:29" s="9" customFormat="1" hidden="1" x14ac:dyDescent="0.3">
      <c r="I17" s="16">
        <v>16804</v>
      </c>
    </row>
    <row r="18" spans="2:29" hidden="1" x14ac:dyDescent="0.3">
      <c r="B18" s="2"/>
      <c r="C18" s="16"/>
      <c r="D18" s="16"/>
      <c r="E18" s="16"/>
      <c r="F18" s="16"/>
      <c r="G18"/>
      <c r="H18" s="419">
        <v>0.47</v>
      </c>
      <c r="I18" s="418">
        <f>I17/G16</f>
        <v>0.45389228026578793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hidden="1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hidden="1" x14ac:dyDescent="0.3">
      <c r="B20" s="2"/>
      <c r="C20" s="2"/>
      <c r="D20" s="16"/>
      <c r="E20" s="16"/>
      <c r="F20" s="16"/>
      <c r="G20" s="21">
        <f>G16*H18</f>
        <v>17400.34</v>
      </c>
      <c r="H20" s="16"/>
      <c r="I20" s="16"/>
      <c r="J20" s="16"/>
      <c r="K20" s="16"/>
    </row>
    <row r="21" spans="2:29" hidden="1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hidden="1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92D050"/>
  </sheetPr>
  <dimension ref="A1:AG3701"/>
  <sheetViews>
    <sheetView showGridLines="0" zoomScale="60" zoomScaleNormal="60" workbookViewId="0">
      <selection activeCell="Q23" sqref="Q23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" style="24" customWidth="1"/>
    <col min="9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11" t="s">
        <v>23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492"/>
      <c r="S1" s="492"/>
      <c r="T1" s="492"/>
      <c r="U1" s="492"/>
      <c r="W1" s="61"/>
      <c r="X1" s="61"/>
      <c r="Y1" s="61"/>
      <c r="Z1" s="61"/>
      <c r="AA1" s="61"/>
      <c r="AB1" s="61"/>
      <c r="AC1" s="323" t="s">
        <v>169</v>
      </c>
      <c r="AD1" s="327">
        <v>12</v>
      </c>
      <c r="AE1" s="61"/>
      <c r="AF1" s="61"/>
      <c r="AG1" s="61"/>
    </row>
    <row r="2" spans="1:33" ht="27" customHeight="1" thickBot="1" x14ac:dyDescent="0.35">
      <c r="B2" s="450" t="s">
        <v>350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2"/>
      <c r="W2" s="325"/>
      <c r="X2" s="325"/>
      <c r="Y2" s="325"/>
      <c r="Z2" s="326"/>
      <c r="AA2" s="325"/>
      <c r="AB2" s="325"/>
      <c r="AC2" s="333" t="s">
        <v>170</v>
      </c>
      <c r="AD2" s="327">
        <v>5</v>
      </c>
      <c r="AE2" s="328"/>
      <c r="AF2" s="328"/>
      <c r="AG2" s="325"/>
    </row>
    <row r="3" spans="1:33" ht="27" customHeight="1" thickBot="1" x14ac:dyDescent="0.35">
      <c r="B3" s="115"/>
      <c r="C3" s="510" t="s">
        <v>313</v>
      </c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3" t="s">
        <v>113</v>
      </c>
      <c r="Q3" s="68"/>
      <c r="R3" s="68"/>
      <c r="S3" s="68"/>
      <c r="T3" s="68"/>
      <c r="U3" s="116"/>
      <c r="W3" s="445" t="s">
        <v>171</v>
      </c>
      <c r="X3" s="445" t="s">
        <v>172</v>
      </c>
      <c r="Y3" s="445" t="s">
        <v>173</v>
      </c>
      <c r="Z3" s="445" t="s">
        <v>174</v>
      </c>
      <c r="AA3" s="445" t="s">
        <v>175</v>
      </c>
      <c r="AB3" s="445" t="s">
        <v>176</v>
      </c>
      <c r="AC3" s="445" t="s">
        <v>169</v>
      </c>
      <c r="AD3" s="445" t="s">
        <v>203</v>
      </c>
      <c r="AE3" s="445" t="s">
        <v>177</v>
      </c>
      <c r="AF3" s="445" t="s">
        <v>178</v>
      </c>
      <c r="AG3" s="445" t="s">
        <v>179</v>
      </c>
    </row>
    <row r="4" spans="1:33" ht="19.5" thickBot="1" x14ac:dyDescent="0.35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26" t="s">
        <v>18</v>
      </c>
      <c r="Q4" s="514" t="s">
        <v>11</v>
      </c>
      <c r="R4" s="515"/>
      <c r="S4" s="515"/>
      <c r="T4" s="515"/>
      <c r="U4" s="516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</row>
    <row r="5" spans="1:33" ht="23.25" customHeight="1" x14ac:dyDescent="0.3">
      <c r="A5" s="485"/>
      <c r="B5" s="485"/>
      <c r="C5" s="523" t="s">
        <v>312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5"/>
      <c r="P5" s="484" t="s">
        <v>34</v>
      </c>
      <c r="Q5" s="517"/>
      <c r="R5" s="518"/>
      <c r="S5" s="518"/>
      <c r="T5" s="518"/>
      <c r="U5" s="519"/>
      <c r="W5" s="509" t="s">
        <v>180</v>
      </c>
      <c r="X5" s="509" t="s">
        <v>181</v>
      </c>
      <c r="Y5" s="509" t="s">
        <v>182</v>
      </c>
      <c r="Z5" s="482" t="s">
        <v>183</v>
      </c>
      <c r="AA5" s="482" t="s">
        <v>184</v>
      </c>
      <c r="AB5" s="482" t="s">
        <v>185</v>
      </c>
      <c r="AC5" s="482" t="s">
        <v>186</v>
      </c>
      <c r="AD5" s="482" t="s">
        <v>187</v>
      </c>
      <c r="AE5" s="482" t="s">
        <v>188</v>
      </c>
      <c r="AF5" s="481" t="s">
        <v>189</v>
      </c>
      <c r="AG5" s="481" t="s">
        <v>190</v>
      </c>
    </row>
    <row r="6" spans="1:33" ht="31.5" customHeight="1" thickBot="1" x14ac:dyDescent="0.35">
      <c r="A6" s="485"/>
      <c r="B6" s="485"/>
      <c r="C6" s="526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8"/>
      <c r="P6" s="485"/>
      <c r="Q6" s="520"/>
      <c r="R6" s="521"/>
      <c r="S6" s="521"/>
      <c r="T6" s="521"/>
      <c r="U6" s="522"/>
      <c r="W6" s="509"/>
      <c r="X6" s="509"/>
      <c r="Y6" s="509"/>
      <c r="Z6" s="482"/>
      <c r="AA6" s="482"/>
      <c r="AB6" s="482"/>
      <c r="AC6" s="482"/>
      <c r="AD6" s="482"/>
      <c r="AE6" s="482"/>
      <c r="AF6" s="481"/>
      <c r="AG6" s="481"/>
    </row>
    <row r="7" spans="1:33" s="9" customFormat="1" ht="48.75" customHeight="1" thickBot="1" x14ac:dyDescent="0.3">
      <c r="A7" s="485"/>
      <c r="B7" s="485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485"/>
      <c r="Q7" s="48" t="s">
        <v>35</v>
      </c>
      <c r="R7" s="351" t="s">
        <v>13</v>
      </c>
      <c r="S7" s="151" t="s">
        <v>36</v>
      </c>
      <c r="T7" s="152" t="s">
        <v>37</v>
      </c>
      <c r="U7" s="49" t="s">
        <v>38</v>
      </c>
      <c r="W7" s="334" t="s">
        <v>191</v>
      </c>
      <c r="X7" s="334" t="s">
        <v>192</v>
      </c>
      <c r="Y7" s="334" t="s">
        <v>193</v>
      </c>
      <c r="Z7" s="334" t="s">
        <v>194</v>
      </c>
      <c r="AA7" s="334" t="s">
        <v>195</v>
      </c>
      <c r="AB7" s="334" t="s">
        <v>196</v>
      </c>
      <c r="AC7" s="334" t="s">
        <v>197</v>
      </c>
      <c r="AD7" s="334" t="s">
        <v>198</v>
      </c>
      <c r="AE7" s="334" t="s">
        <v>199</v>
      </c>
      <c r="AF7" s="334" t="s">
        <v>200</v>
      </c>
      <c r="AG7" s="341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SUM([1]A03!$F$205:$Y$205)</f>
        <v>168</v>
      </c>
      <c r="D8" s="153">
        <f>SUM([2]A03!$F$205:$Y$205)</f>
        <v>110</v>
      </c>
      <c r="E8" s="153">
        <f>SUM([3]A03!$F$205:$Y$205)</f>
        <v>112</v>
      </c>
      <c r="F8" s="153">
        <f>SUM([4]A03!$F$205:$Y$205)</f>
        <v>82</v>
      </c>
      <c r="G8" s="153">
        <f>SUM([5]A03!$F$205:$Y$205)</f>
        <v>114</v>
      </c>
      <c r="H8" s="153"/>
      <c r="I8" s="153"/>
      <c r="J8" s="153"/>
      <c r="K8" s="153"/>
      <c r="L8" s="153"/>
      <c r="M8" s="153"/>
      <c r="N8" s="160"/>
      <c r="O8" s="162">
        <f>SUM(C8:N8)</f>
        <v>586</v>
      </c>
      <c r="P8" s="394">
        <f>Poblac!G5</f>
        <v>1567.3671999999999</v>
      </c>
      <c r="Q8" s="393">
        <f>IF(P8=0,0,IF(P8&lt;=O8,1,+O8/P8))</f>
        <v>0.37387537521520164</v>
      </c>
      <c r="R8" s="426">
        <f>'RESUMEN INDICADORES'!$F$5</f>
        <v>0.50800000000000001</v>
      </c>
      <c r="S8" s="238">
        <f>+R8*'RESUMEN INDICADORES'!$D$15</f>
        <v>0.20827999999999999</v>
      </c>
      <c r="T8" s="155">
        <f>IF(Q8&gt;=S8,1,+Q8/S8)</f>
        <v>1</v>
      </c>
      <c r="U8" s="156">
        <f>IF(Q8&gt;=S8,6.25,((Q8/S8)*6.25))</f>
        <v>6.25</v>
      </c>
      <c r="W8" s="342">
        <f t="shared" ref="W8:W14" si="0">R8</f>
        <v>0.50800000000000001</v>
      </c>
      <c r="X8" s="416">
        <f>AB8/Z8</f>
        <v>0.37387537521520164</v>
      </c>
      <c r="Y8" s="342">
        <f>X8/W8</f>
        <v>0.7359751480614205</v>
      </c>
      <c r="Z8" s="337">
        <f t="shared" ref="Z8:Z14" si="1">P8</f>
        <v>1567.3671999999999</v>
      </c>
      <c r="AA8" s="338">
        <f>Z8*W8</f>
        <v>796.22253760000001</v>
      </c>
      <c r="AB8" s="337">
        <f t="shared" ref="AB8:AB14" si="2">O8</f>
        <v>586</v>
      </c>
      <c r="AC8" s="338">
        <f>AA8/$AD$1</f>
        <v>66.351878133333329</v>
      </c>
      <c r="AD8" s="338">
        <f t="shared" ref="AD8:AD14" si="3">P8*W8</f>
        <v>796.22253760000001</v>
      </c>
      <c r="AE8" s="337">
        <f t="shared" ref="AE8:AE14" si="4">O8</f>
        <v>586</v>
      </c>
      <c r="AF8" s="339">
        <f t="shared" ref="AF8:AF16" si="5">IFERROR(AE8/AD8,0)</f>
        <v>0.7359751480614205</v>
      </c>
      <c r="AG8" s="414">
        <f t="shared" ref="AG8:AG14" si="6">(AD8-AE8)*-1</f>
        <v>-210.22253760000001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SUM([6]A03!$F$205:$Y$205)</f>
        <v>95</v>
      </c>
      <c r="D9" s="31">
        <f>SUM([7]A03!$F$205:$Y$205)</f>
        <v>60</v>
      </c>
      <c r="E9" s="31">
        <f>SUM([8]A03!$F$205:$Y$205)</f>
        <v>121</v>
      </c>
      <c r="F9" s="31">
        <f>SUM([9]A03!$F$205:$Y$205)</f>
        <v>92</v>
      </c>
      <c r="G9" s="31">
        <f>SUM([10]A03!$F$205:$Y$205)</f>
        <v>73</v>
      </c>
      <c r="H9" s="31"/>
      <c r="I9" s="31"/>
      <c r="J9" s="31"/>
      <c r="K9" s="31"/>
      <c r="L9" s="31"/>
      <c r="M9" s="31"/>
      <c r="N9" s="161"/>
      <c r="O9" s="163">
        <f t="shared" ref="O9:O14" si="7">SUM(C9:N9)</f>
        <v>441</v>
      </c>
      <c r="P9" s="394">
        <f>Poblac!G6</f>
        <v>1326</v>
      </c>
      <c r="Q9" s="395">
        <f t="shared" ref="Q9:Q14" si="8">IF(P9=0,0,IF(P9&lt;=O9,1,+O9/P9))</f>
        <v>0.33257918552036198</v>
      </c>
      <c r="R9" s="427">
        <f>'RESUMEN INDICADORES'!$F$5</f>
        <v>0.50800000000000001</v>
      </c>
      <c r="S9" s="239">
        <f>+R9*'RESUMEN INDICADORES'!$D$15</f>
        <v>0.20827999999999999</v>
      </c>
      <c r="T9" s="33">
        <f t="shared" ref="T9:T14" si="9">IF(Q9&gt;=S9,1,+Q9/S9)</f>
        <v>1</v>
      </c>
      <c r="U9" s="157">
        <f t="shared" ref="U9:U14" si="10">IF(Q9&gt;=S9,6.25,((Q9/S9)*6.25))</f>
        <v>6.25</v>
      </c>
      <c r="W9" s="342">
        <f t="shared" si="0"/>
        <v>0.50800000000000001</v>
      </c>
      <c r="X9" s="416">
        <f t="shared" ref="X9:X14" si="11">AB9/Z9</f>
        <v>0.33257918552036198</v>
      </c>
      <c r="Y9" s="342">
        <f t="shared" ref="Y9:Y14" si="12">X9/W9</f>
        <v>0.65468343606370472</v>
      </c>
      <c r="Z9" s="337">
        <f t="shared" si="1"/>
        <v>1326</v>
      </c>
      <c r="AA9" s="338">
        <f t="shared" ref="AA9:AA14" si="13">Z9*W9</f>
        <v>673.60800000000006</v>
      </c>
      <c r="AB9" s="337">
        <f t="shared" si="2"/>
        <v>441</v>
      </c>
      <c r="AC9" s="338">
        <f t="shared" ref="AC9:AC16" si="14">AA9/$AD$1</f>
        <v>56.134000000000007</v>
      </c>
      <c r="AD9" s="338">
        <f t="shared" si="3"/>
        <v>673.60800000000006</v>
      </c>
      <c r="AE9" s="337">
        <f t="shared" si="4"/>
        <v>441</v>
      </c>
      <c r="AF9" s="339">
        <f t="shared" si="5"/>
        <v>0.6546834360637046</v>
      </c>
      <c r="AG9" s="414">
        <f t="shared" si="6"/>
        <v>-232.60800000000006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SUM([11]A03!$F$205:$Y$205)</f>
        <v>53</v>
      </c>
      <c r="D10" s="31">
        <f>SUM([12]A03!$F$205:$Y$205)</f>
        <v>57</v>
      </c>
      <c r="E10" s="31">
        <f>SUM([13]A03!$F$205:$Y$205)</f>
        <v>28</v>
      </c>
      <c r="F10" s="31">
        <f>SUM([14]A03!$F$205:$Y$205)</f>
        <v>109</v>
      </c>
      <c r="G10" s="31">
        <f>SUM([15]A03!$F$205:$Y$205)</f>
        <v>47</v>
      </c>
      <c r="H10" s="31"/>
      <c r="I10" s="31"/>
      <c r="J10" s="31"/>
      <c r="K10" s="31"/>
      <c r="L10" s="31"/>
      <c r="M10" s="31"/>
      <c r="N10" s="161"/>
      <c r="O10" s="163">
        <f t="shared" si="7"/>
        <v>294</v>
      </c>
      <c r="P10" s="394">
        <f>Poblac!G7</f>
        <v>1808</v>
      </c>
      <c r="Q10" s="239">
        <f t="shared" si="8"/>
        <v>0.16261061946902655</v>
      </c>
      <c r="R10" s="427">
        <f>'RESUMEN INDICADORES'!$F$5</f>
        <v>0.50800000000000001</v>
      </c>
      <c r="S10" s="239">
        <f>+R10*'RESUMEN INDICADORES'!$D$15</f>
        <v>0.20827999999999999</v>
      </c>
      <c r="T10" s="33">
        <f t="shared" si="9"/>
        <v>0.78073084054650743</v>
      </c>
      <c r="U10" s="157">
        <f t="shared" si="10"/>
        <v>4.8795677534156718</v>
      </c>
      <c r="W10" s="342">
        <f t="shared" si="0"/>
        <v>0.50800000000000001</v>
      </c>
      <c r="X10" s="416">
        <f t="shared" si="11"/>
        <v>0.16261061946902655</v>
      </c>
      <c r="Y10" s="342">
        <f t="shared" si="12"/>
        <v>0.32009964462406804</v>
      </c>
      <c r="Z10" s="337">
        <f t="shared" si="1"/>
        <v>1808</v>
      </c>
      <c r="AA10" s="338">
        <f t="shared" si="13"/>
        <v>918.46400000000006</v>
      </c>
      <c r="AB10" s="337">
        <f t="shared" si="2"/>
        <v>294</v>
      </c>
      <c r="AC10" s="338">
        <f t="shared" si="14"/>
        <v>76.538666666666671</v>
      </c>
      <c r="AD10" s="338">
        <f t="shared" si="3"/>
        <v>918.46400000000006</v>
      </c>
      <c r="AE10" s="337">
        <f t="shared" si="4"/>
        <v>294</v>
      </c>
      <c r="AF10" s="339">
        <f t="shared" si="5"/>
        <v>0.32009964462406798</v>
      </c>
      <c r="AG10" s="414">
        <f t="shared" si="6"/>
        <v>-624.46400000000006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SUM([16]A03!$F$205:$Y$205)</f>
        <v>60</v>
      </c>
      <c r="D11" s="31">
        <f>SUM([17]A03!$F$205:$Y$205)</f>
        <v>60</v>
      </c>
      <c r="E11" s="31">
        <f>SUM([18]A03!$F$205:$Y$205)</f>
        <v>99</v>
      </c>
      <c r="F11" s="31">
        <f>SUM([19]A03!$F$205:$Y$205)</f>
        <v>123</v>
      </c>
      <c r="G11" s="31">
        <f>SUM([20]A03!$F$205:$Y$205)</f>
        <v>93</v>
      </c>
      <c r="H11" s="31"/>
      <c r="I11" s="31"/>
      <c r="J11" s="31"/>
      <c r="K11" s="31"/>
      <c r="L11" s="31"/>
      <c r="M11" s="31"/>
      <c r="N11" s="161"/>
      <c r="O11" s="163">
        <f t="shared" si="7"/>
        <v>435</v>
      </c>
      <c r="P11" s="394">
        <f>Poblac!G8</f>
        <v>1620.654</v>
      </c>
      <c r="Q11" s="239">
        <f t="shared" si="8"/>
        <v>0.26841016034267645</v>
      </c>
      <c r="R11" s="427">
        <f>'RESUMEN INDICADORES'!$F$5</f>
        <v>0.50800000000000001</v>
      </c>
      <c r="S11" s="239">
        <f>+R11*'RESUMEN INDICADORES'!$D$15</f>
        <v>0.20827999999999999</v>
      </c>
      <c r="T11" s="33">
        <f t="shared" si="9"/>
        <v>1</v>
      </c>
      <c r="U11" s="157">
        <f t="shared" si="10"/>
        <v>6.25</v>
      </c>
      <c r="W11" s="342">
        <f t="shared" si="0"/>
        <v>0.50800000000000001</v>
      </c>
      <c r="X11" s="416">
        <f t="shared" si="11"/>
        <v>0.26841016034267645</v>
      </c>
      <c r="Y11" s="342">
        <f t="shared" si="12"/>
        <v>0.52836645736747334</v>
      </c>
      <c r="Z11" s="337">
        <f t="shared" si="1"/>
        <v>1620.654</v>
      </c>
      <c r="AA11" s="338">
        <f t="shared" si="13"/>
        <v>823.29223200000001</v>
      </c>
      <c r="AB11" s="337">
        <f t="shared" si="2"/>
        <v>435</v>
      </c>
      <c r="AC11" s="338">
        <f t="shared" si="14"/>
        <v>68.607686000000001</v>
      </c>
      <c r="AD11" s="338">
        <f t="shared" si="3"/>
        <v>823.29223200000001</v>
      </c>
      <c r="AE11" s="337">
        <f t="shared" si="4"/>
        <v>435</v>
      </c>
      <c r="AF11" s="339">
        <f t="shared" si="5"/>
        <v>0.52836645736747334</v>
      </c>
      <c r="AG11" s="414">
        <f t="shared" si="6"/>
        <v>-388.29223200000001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SUM([21]A03!$F$205:$Y$205)</f>
        <v>93</v>
      </c>
      <c r="D12" s="31">
        <f>SUM([22]A03!$F$205:$Y$205)</f>
        <v>76</v>
      </c>
      <c r="E12" s="31">
        <f>SUM([23]A03!$F$205:$Y$205)</f>
        <v>0</v>
      </c>
      <c r="F12" s="31">
        <f>SUM([24]A03!$F$205:$Y$205)</f>
        <v>108</v>
      </c>
      <c r="G12" s="31">
        <f>SUM([25]A03!$F$205:$Y$205)</f>
        <v>102</v>
      </c>
      <c r="H12" s="31"/>
      <c r="I12" s="31"/>
      <c r="J12" s="31"/>
      <c r="K12" s="31"/>
      <c r="L12" s="31"/>
      <c r="M12" s="31"/>
      <c r="N12" s="161"/>
      <c r="O12" s="163">
        <f t="shared" si="7"/>
        <v>379</v>
      </c>
      <c r="P12" s="394">
        <f>Poblac!G9</f>
        <v>1827</v>
      </c>
      <c r="Q12" s="239">
        <f t="shared" si="8"/>
        <v>0.20744389709906952</v>
      </c>
      <c r="R12" s="427">
        <f>'RESUMEN INDICADORES'!$F$5</f>
        <v>0.50800000000000001</v>
      </c>
      <c r="S12" s="239">
        <f>+R12*'RESUMEN INDICADORES'!$D$15</f>
        <v>0.20827999999999999</v>
      </c>
      <c r="T12" s="33">
        <f t="shared" si="9"/>
        <v>0.99598567840920649</v>
      </c>
      <c r="U12" s="157">
        <f t="shared" si="10"/>
        <v>6.2249104900575407</v>
      </c>
      <c r="W12" s="342">
        <f t="shared" si="0"/>
        <v>0.50800000000000001</v>
      </c>
      <c r="X12" s="416">
        <f t="shared" si="11"/>
        <v>0.20744389709906952</v>
      </c>
      <c r="Y12" s="342">
        <f t="shared" si="12"/>
        <v>0.40835412814777466</v>
      </c>
      <c r="Z12" s="337">
        <f t="shared" si="1"/>
        <v>1827</v>
      </c>
      <c r="AA12" s="338">
        <f t="shared" si="13"/>
        <v>928.11599999999999</v>
      </c>
      <c r="AB12" s="337">
        <f t="shared" si="2"/>
        <v>379</v>
      </c>
      <c r="AC12" s="338">
        <f t="shared" si="14"/>
        <v>77.343000000000004</v>
      </c>
      <c r="AD12" s="338">
        <f t="shared" si="3"/>
        <v>928.11599999999999</v>
      </c>
      <c r="AE12" s="337">
        <f t="shared" si="4"/>
        <v>379</v>
      </c>
      <c r="AF12" s="339">
        <f t="shared" si="5"/>
        <v>0.40835412814777466</v>
      </c>
      <c r="AG12" s="414">
        <f t="shared" si="6"/>
        <v>-549.11599999999999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SUM([26]A03!$F$205:$Y$205)</f>
        <v>0</v>
      </c>
      <c r="D13" s="31">
        <f>SUM([27]A03!$F$205:$Y$205)</f>
        <v>0</v>
      </c>
      <c r="E13" s="31">
        <f>SUM([28]A03!$F$205:$Y$205)</f>
        <v>21</v>
      </c>
      <c r="F13" s="31">
        <f>SUM([29]A03!$F$205:$Y$205)</f>
        <v>8</v>
      </c>
      <c r="G13" s="31">
        <f>SUM([30]A03!$F$205:$Y$205)</f>
        <v>91</v>
      </c>
      <c r="H13" s="31"/>
      <c r="I13" s="31"/>
      <c r="J13" s="31"/>
      <c r="K13" s="31"/>
      <c r="L13" s="31"/>
      <c r="M13" s="31"/>
      <c r="N13" s="161"/>
      <c r="O13" s="163">
        <f t="shared" si="7"/>
        <v>120</v>
      </c>
      <c r="P13" s="394">
        <f>Poblac!G10</f>
        <v>413.63280000000003</v>
      </c>
      <c r="Q13" s="239">
        <f t="shared" si="8"/>
        <v>0.29011238953970764</v>
      </c>
      <c r="R13" s="427">
        <f>'RESUMEN INDICADORES'!$F$5</f>
        <v>0.50800000000000001</v>
      </c>
      <c r="S13" s="239">
        <f>+R13*'RESUMEN INDICADORES'!$D$15</f>
        <v>0.20827999999999999</v>
      </c>
      <c r="T13" s="33">
        <f t="shared" si="9"/>
        <v>1</v>
      </c>
      <c r="U13" s="157">
        <f t="shared" si="10"/>
        <v>6.25</v>
      </c>
      <c r="W13" s="342">
        <f t="shared" si="0"/>
        <v>0.50800000000000001</v>
      </c>
      <c r="X13" s="416">
        <f t="shared" si="11"/>
        <v>0.29011238953970764</v>
      </c>
      <c r="Y13" s="342">
        <f t="shared" si="12"/>
        <v>0.5710873809836764</v>
      </c>
      <c r="Z13" s="337">
        <f t="shared" si="1"/>
        <v>413.63280000000003</v>
      </c>
      <c r="AA13" s="338">
        <f t="shared" si="13"/>
        <v>210.12546240000003</v>
      </c>
      <c r="AB13" s="337">
        <f t="shared" si="2"/>
        <v>120</v>
      </c>
      <c r="AC13" s="338">
        <f t="shared" si="14"/>
        <v>17.510455200000003</v>
      </c>
      <c r="AD13" s="338">
        <f t="shared" si="3"/>
        <v>210.12546240000003</v>
      </c>
      <c r="AE13" s="337">
        <f t="shared" si="4"/>
        <v>120</v>
      </c>
      <c r="AF13" s="339">
        <f t="shared" si="5"/>
        <v>0.57108738098367651</v>
      </c>
      <c r="AG13" s="414">
        <f t="shared" si="6"/>
        <v>-90.125462400000032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SUM([31]A03!$F$205:$Y$205)</f>
        <v>2</v>
      </c>
      <c r="D14" s="137">
        <f>SUM([32]A03!$F$205:$Y$205)</f>
        <v>0</v>
      </c>
      <c r="E14" s="137">
        <f>SUM([33]A03!$F$205:$Y$205)</f>
        <v>2</v>
      </c>
      <c r="F14" s="137">
        <f>SUM([34]A03!$F$205:$Y$205)</f>
        <v>0</v>
      </c>
      <c r="G14" s="137">
        <f>SUM([35]A03!$F$205:$Y$205)</f>
        <v>1</v>
      </c>
      <c r="H14" s="137"/>
      <c r="I14" s="137"/>
      <c r="J14" s="137"/>
      <c r="K14" s="137"/>
      <c r="L14" s="137"/>
      <c r="M14" s="137"/>
      <c r="N14" s="165"/>
      <c r="O14" s="164">
        <f t="shared" si="7"/>
        <v>5</v>
      </c>
      <c r="P14" s="394">
        <f>Poblac!G11</f>
        <v>21.346000000000004</v>
      </c>
      <c r="Q14" s="240">
        <f t="shared" si="8"/>
        <v>0.23423592242106245</v>
      </c>
      <c r="R14" s="428">
        <f>'RESUMEN INDICADORES'!$F$5</f>
        <v>0.50800000000000001</v>
      </c>
      <c r="S14" s="240">
        <f>+R14*'RESUMEN INDICADORES'!$D$15</f>
        <v>0.20827999999999999</v>
      </c>
      <c r="T14" s="158">
        <f t="shared" si="9"/>
        <v>1</v>
      </c>
      <c r="U14" s="159">
        <f t="shared" si="10"/>
        <v>6.25</v>
      </c>
      <c r="W14" s="342">
        <f t="shared" si="0"/>
        <v>0.50800000000000001</v>
      </c>
      <c r="X14" s="416">
        <f t="shared" si="11"/>
        <v>0.23423592242106245</v>
      </c>
      <c r="Y14" s="342">
        <f t="shared" si="12"/>
        <v>0.46109433547453238</v>
      </c>
      <c r="Z14" s="337">
        <f t="shared" si="1"/>
        <v>21.346000000000004</v>
      </c>
      <c r="AA14" s="338">
        <f t="shared" si="13"/>
        <v>10.843768000000003</v>
      </c>
      <c r="AB14" s="337">
        <f t="shared" si="2"/>
        <v>5</v>
      </c>
      <c r="AC14" s="338">
        <f t="shared" si="14"/>
        <v>0.90364733333333358</v>
      </c>
      <c r="AD14" s="338">
        <f t="shared" si="3"/>
        <v>10.843768000000003</v>
      </c>
      <c r="AE14" s="337">
        <f t="shared" si="4"/>
        <v>5</v>
      </c>
      <c r="AF14" s="339">
        <f t="shared" si="5"/>
        <v>0.46109433547453238</v>
      </c>
      <c r="AG14" s="414">
        <f t="shared" si="6"/>
        <v>-5.8437680000000025</v>
      </c>
    </row>
    <row r="15" spans="1:33" s="9" customFormat="1" ht="20.25" customHeight="1" thickBot="1" x14ac:dyDescent="0.3">
      <c r="W15" s="417"/>
      <c r="X15" s="29"/>
      <c r="AB15" s="337"/>
      <c r="AC15" s="338"/>
      <c r="AG15" s="415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5">SUM(D8:D14)</f>
        <v>363</v>
      </c>
      <c r="E16" s="34">
        <f t="shared" si="15"/>
        <v>383</v>
      </c>
      <c r="F16" s="34">
        <f t="shared" si="15"/>
        <v>522</v>
      </c>
      <c r="G16" s="34">
        <f t="shared" si="15"/>
        <v>521</v>
      </c>
      <c r="H16" s="34">
        <f t="shared" si="15"/>
        <v>0</v>
      </c>
      <c r="I16" s="34">
        <f t="shared" si="15"/>
        <v>0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167">
        <f>SUM(O8:O14)</f>
        <v>2260</v>
      </c>
      <c r="P16" s="36">
        <f>SUM(P8:P14)</f>
        <v>8583.9999999999982</v>
      </c>
      <c r="Q16" s="393">
        <f>IF(P16=0,0,IF(P16&lt;=O16,1,+O16/P16))</f>
        <v>0.26328052190121159</v>
      </c>
      <c r="R16" s="37">
        <f>'RESUMEN INDICADORES'!$F$5</f>
        <v>0.50800000000000001</v>
      </c>
      <c r="S16" s="396">
        <f>+R16*'RESUMEN INDICADORES'!$D$15</f>
        <v>0.20827999999999999</v>
      </c>
      <c r="T16" s="392">
        <f>IF(Q16&gt;=S16,1,+Q16/S16)</f>
        <v>1</v>
      </c>
      <c r="U16" s="39">
        <f>IF(Q16&gt;=S16,6.25,((Q16/S16)*6.25))</f>
        <v>6.25</v>
      </c>
      <c r="W16" s="342">
        <f>R16</f>
        <v>0.50800000000000001</v>
      </c>
      <c r="X16" s="416">
        <f t="shared" ref="X16" si="16">AB16/Z16</f>
        <v>0.26328052190121159</v>
      </c>
      <c r="Y16" s="342">
        <f t="shared" ref="Y16" si="17">X16/W16</f>
        <v>0.51826874390002287</v>
      </c>
      <c r="Z16" s="337">
        <f>P16</f>
        <v>8583.9999999999982</v>
      </c>
      <c r="AA16" s="338">
        <f t="shared" ref="AA16" si="18">Z16*W16</f>
        <v>4360.6719999999996</v>
      </c>
      <c r="AB16" s="337">
        <f>O16</f>
        <v>2260</v>
      </c>
      <c r="AC16" s="338">
        <f t="shared" si="14"/>
        <v>363.3893333333333</v>
      </c>
      <c r="AD16" s="338">
        <f>P16*W16</f>
        <v>4360.6719999999996</v>
      </c>
      <c r="AE16" s="337">
        <f>O16</f>
        <v>2260</v>
      </c>
      <c r="AF16" s="339">
        <f t="shared" si="5"/>
        <v>0.51826874390002275</v>
      </c>
      <c r="AG16" s="384">
        <f t="shared" ref="AG16" si="19">(AD16-AE16)*-1</f>
        <v>-2100.6719999999996</v>
      </c>
    </row>
    <row r="17" spans="2:23" s="9" customFormat="1" ht="24" customHeight="1" x14ac:dyDescent="0.25"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zoomScale="70" zoomScaleNormal="70" workbookViewId="0">
      <selection activeCell="P29" sqref="P29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3" t="s">
        <v>169</v>
      </c>
      <c r="AE1" s="327">
        <v>12</v>
      </c>
      <c r="AF1" s="61"/>
      <c r="AG1" s="61"/>
      <c r="AH1" s="61"/>
    </row>
    <row r="2" spans="1:34" ht="45" customHeight="1" thickBot="1" x14ac:dyDescent="0.45">
      <c r="B2" s="450" t="s">
        <v>351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80"/>
      <c r="Q2" s="451"/>
      <c r="R2" s="451"/>
      <c r="S2" s="451"/>
      <c r="T2" s="451"/>
      <c r="U2" s="452"/>
      <c r="V2" s="46"/>
      <c r="X2" s="325"/>
      <c r="Y2" s="325"/>
      <c r="Z2" s="325"/>
      <c r="AA2" s="326"/>
      <c r="AB2" s="325"/>
      <c r="AC2" s="325"/>
      <c r="AD2" s="333" t="s">
        <v>170</v>
      </c>
      <c r="AE2" s="327">
        <v>3</v>
      </c>
      <c r="AF2" s="328"/>
      <c r="AG2" s="328"/>
      <c r="AH2" s="325"/>
    </row>
    <row r="3" spans="1:34" ht="45" customHeight="1" thickBot="1" x14ac:dyDescent="0.45">
      <c r="B3" s="115"/>
      <c r="C3" s="451" t="s">
        <v>111</v>
      </c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117" t="s">
        <v>113</v>
      </c>
      <c r="Q3" s="68"/>
      <c r="R3" s="68"/>
      <c r="S3" s="68"/>
      <c r="T3" s="68"/>
      <c r="U3" s="116"/>
      <c r="V3" s="46"/>
      <c r="X3" s="445" t="s">
        <v>171</v>
      </c>
      <c r="Y3" s="445" t="s">
        <v>172</v>
      </c>
      <c r="Z3" s="445" t="s">
        <v>173</v>
      </c>
      <c r="AA3" s="445" t="s">
        <v>174</v>
      </c>
      <c r="AB3" s="445" t="s">
        <v>175</v>
      </c>
      <c r="AC3" s="445" t="s">
        <v>176</v>
      </c>
      <c r="AD3" s="445" t="s">
        <v>169</v>
      </c>
      <c r="AE3" s="445" t="s">
        <v>203</v>
      </c>
      <c r="AF3" s="445" t="s">
        <v>177</v>
      </c>
      <c r="AG3" s="445" t="s">
        <v>178</v>
      </c>
      <c r="AH3" s="445" t="s">
        <v>179</v>
      </c>
    </row>
    <row r="4" spans="1:34" ht="21.75" customHeight="1" thickBot="1" x14ac:dyDescent="0.4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118" t="s">
        <v>18</v>
      </c>
      <c r="Q4" s="514" t="s">
        <v>11</v>
      </c>
      <c r="R4" s="515"/>
      <c r="S4" s="515"/>
      <c r="T4" s="515"/>
      <c r="U4" s="516"/>
      <c r="V4" s="47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</row>
    <row r="5" spans="1:34" ht="18.75" customHeight="1" x14ac:dyDescent="0.35">
      <c r="A5" s="485"/>
      <c r="B5" s="485"/>
      <c r="C5" s="446" t="s">
        <v>314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5"/>
      <c r="P5" s="484" t="s">
        <v>112</v>
      </c>
      <c r="Q5" s="517"/>
      <c r="R5" s="518"/>
      <c r="S5" s="518"/>
      <c r="T5" s="518"/>
      <c r="U5" s="529"/>
      <c r="V5" s="47"/>
      <c r="X5" s="509" t="s">
        <v>180</v>
      </c>
      <c r="Y5" s="509" t="s">
        <v>181</v>
      </c>
      <c r="Z5" s="509" t="s">
        <v>182</v>
      </c>
      <c r="AA5" s="482" t="s">
        <v>183</v>
      </c>
      <c r="AB5" s="482" t="s">
        <v>184</v>
      </c>
      <c r="AC5" s="482" t="s">
        <v>185</v>
      </c>
      <c r="AD5" s="482" t="s">
        <v>186</v>
      </c>
      <c r="AE5" s="482" t="s">
        <v>187</v>
      </c>
      <c r="AF5" s="482" t="s">
        <v>188</v>
      </c>
      <c r="AG5" s="481" t="s">
        <v>189</v>
      </c>
      <c r="AH5" s="481" t="s">
        <v>190</v>
      </c>
    </row>
    <row r="6" spans="1:34" ht="21.75" customHeight="1" thickBot="1" x14ac:dyDescent="0.4">
      <c r="A6" s="485"/>
      <c r="B6" s="485"/>
      <c r="C6" s="526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8"/>
      <c r="P6" s="531"/>
      <c r="Q6" s="520"/>
      <c r="R6" s="521"/>
      <c r="S6" s="521"/>
      <c r="T6" s="521"/>
      <c r="U6" s="530"/>
      <c r="V6" s="47"/>
      <c r="X6" s="509"/>
      <c r="Y6" s="509"/>
      <c r="Z6" s="509"/>
      <c r="AA6" s="482"/>
      <c r="AB6" s="482"/>
      <c r="AC6" s="482"/>
      <c r="AD6" s="482"/>
      <c r="AE6" s="482"/>
      <c r="AF6" s="482"/>
      <c r="AG6" s="481"/>
      <c r="AH6" s="481"/>
    </row>
    <row r="7" spans="1:34" s="9" customFormat="1" ht="63" customHeight="1" thickBot="1" x14ac:dyDescent="0.3">
      <c r="A7" s="485"/>
      <c r="B7" s="485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31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4" t="s">
        <v>191</v>
      </c>
      <c r="Y7" s="334" t="s">
        <v>192</v>
      </c>
      <c r="Z7" s="334" t="s">
        <v>193</v>
      </c>
      <c r="AA7" s="334" t="s">
        <v>194</v>
      </c>
      <c r="AB7" s="334" t="s">
        <v>195</v>
      </c>
      <c r="AC7" s="334" t="s">
        <v>196</v>
      </c>
      <c r="AD7" s="334" t="s">
        <v>197</v>
      </c>
      <c r="AE7" s="334" t="s">
        <v>198</v>
      </c>
      <c r="AF7" s="334" t="s">
        <v>199</v>
      </c>
      <c r="AG7" s="334" t="s">
        <v>200</v>
      </c>
      <c r="AH7" s="341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SUM([1]A09!$S$48:$T$48)</f>
        <v>11</v>
      </c>
      <c r="D8" s="153">
        <f>SUM([2]A09!$S$48:$T$48)</f>
        <v>5</v>
      </c>
      <c r="E8" s="153">
        <f>SUM([3]A09!$S$48:$T$48)</f>
        <v>4</v>
      </c>
      <c r="F8" s="153">
        <f>SUM([4]A09!$S$48:$T$48)</f>
        <v>6</v>
      </c>
      <c r="G8" s="153">
        <f>SUM([5]A09!$S$48:$T$48)</f>
        <v>9</v>
      </c>
      <c r="H8" s="153"/>
      <c r="I8" s="153"/>
      <c r="J8" s="153"/>
      <c r="K8" s="153"/>
      <c r="L8" s="153"/>
      <c r="M8" s="153"/>
      <c r="N8" s="153"/>
      <c r="O8" s="154">
        <f>SUM(C8:N8)</f>
        <v>35</v>
      </c>
      <c r="P8" s="430">
        <v>269</v>
      </c>
      <c r="Q8" s="238">
        <f t="shared" ref="Q8" si="0">IF(P8=0,0,IF(P8&lt;=O8,1,+O8/P8))</f>
        <v>0.13011152416356878</v>
      </c>
      <c r="R8" s="350">
        <f>'RESUMEN INDICADORES'!$F$6</f>
        <v>0.2</v>
      </c>
      <c r="S8" s="238">
        <f>+R8*'RESUMEN INDICADORES'!$D$15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2">
        <f>R8</f>
        <v>0.2</v>
      </c>
      <c r="Y8" s="342">
        <f>AC8/AA8</f>
        <v>0.13011152416356878</v>
      </c>
      <c r="Z8" s="342">
        <f>Y8/X8</f>
        <v>0.65055762081784385</v>
      </c>
      <c r="AA8" s="337">
        <f>P8</f>
        <v>269</v>
      </c>
      <c r="AB8" s="338">
        <f>AA8*X8</f>
        <v>53.800000000000004</v>
      </c>
      <c r="AC8" s="337">
        <f>O8</f>
        <v>35</v>
      </c>
      <c r="AD8" s="338">
        <f>AB8/$AE$1</f>
        <v>4.4833333333333334</v>
      </c>
      <c r="AE8" s="338">
        <f>P8*X8</f>
        <v>53.800000000000004</v>
      </c>
      <c r="AF8" s="337">
        <f>O8</f>
        <v>35</v>
      </c>
      <c r="AG8" s="339">
        <f t="shared" ref="AG8:AG16" si="3">IFERROR(AF8/AE8,0)</f>
        <v>0.65055762081784385</v>
      </c>
      <c r="AH8" s="414">
        <f t="shared" ref="AH8:AH14" si="4">(AE8-AF8)*-1</f>
        <v>-18.800000000000004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SUM([6]A09!$S$48:$T$48)</f>
        <v>5</v>
      </c>
      <c r="D9" s="31">
        <f>SUM([7]A09!$S$48:$T$48)</f>
        <v>2</v>
      </c>
      <c r="E9" s="31">
        <f>SUM([8]A09!$S$48:$T$48)</f>
        <v>1</v>
      </c>
      <c r="F9" s="31">
        <f>SUM([9]A09!$S$48:$T$48)</f>
        <v>3</v>
      </c>
      <c r="G9" s="31">
        <f>SUM([10]A09!$S$48:$T$48)</f>
        <v>5</v>
      </c>
      <c r="H9" s="31"/>
      <c r="I9" s="31"/>
      <c r="J9" s="31"/>
      <c r="K9" s="31"/>
      <c r="L9" s="31"/>
      <c r="M9" s="31"/>
      <c r="N9" s="31"/>
      <c r="O9" s="32">
        <f>SUM(C9:N9)</f>
        <v>16</v>
      </c>
      <c r="P9" s="430">
        <v>241</v>
      </c>
      <c r="Q9" s="239">
        <f t="shared" ref="Q9:Q14" si="5">IF(P9=0,0,IF(P9&lt;=O9,1,+O9/P9))</f>
        <v>6.6390041493775934E-2</v>
      </c>
      <c r="R9" s="350">
        <f>'RESUMEN INDICADORES'!$F$6</f>
        <v>0.2</v>
      </c>
      <c r="S9" s="238">
        <f>+R9*'RESUMEN INDICADORES'!$D$15</f>
        <v>8.2000000000000003E-2</v>
      </c>
      <c r="T9" s="33">
        <f>IF(Q9&gt;=S9,1,+Q9/S9)</f>
        <v>0.80963465236312115</v>
      </c>
      <c r="U9" s="157">
        <f t="shared" ref="U9:U14" si="6">IF(Q9&gt;=S9,6.25,((Q9/S9)*6.25))</f>
        <v>5.0602165772695074</v>
      </c>
      <c r="X9" s="342">
        <f t="shared" ref="X9:X16" si="7">R9</f>
        <v>0.2</v>
      </c>
      <c r="Y9" s="342">
        <f t="shared" ref="Y9:Y14" si="8">AC9/AA9</f>
        <v>6.6390041493775934E-2</v>
      </c>
      <c r="Z9" s="342">
        <f t="shared" ref="Z9:Z14" si="9">Y9/X9</f>
        <v>0.33195020746887965</v>
      </c>
      <c r="AA9" s="337">
        <f t="shared" ref="AA9:AA16" si="10">P9</f>
        <v>241</v>
      </c>
      <c r="AB9" s="338">
        <f t="shared" ref="AB9:AB14" si="11">AA9*X9</f>
        <v>48.2</v>
      </c>
      <c r="AC9" s="337">
        <f t="shared" ref="AC9:AC16" si="12">O9</f>
        <v>16</v>
      </c>
      <c r="AD9" s="338">
        <f t="shared" ref="AD9:AD16" si="13">AB9/$AE$1</f>
        <v>4.0166666666666666</v>
      </c>
      <c r="AE9" s="338">
        <f t="shared" ref="AE9:AE16" si="14">P9*X9</f>
        <v>48.2</v>
      </c>
      <c r="AF9" s="337">
        <f t="shared" ref="AF9:AF16" si="15">O9</f>
        <v>16</v>
      </c>
      <c r="AG9" s="339">
        <f t="shared" si="3"/>
        <v>0.33195020746887965</v>
      </c>
      <c r="AH9" s="414">
        <f t="shared" si="4"/>
        <v>-32.200000000000003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SUM([11]A09!$S$48:$T$48)</f>
        <v>0</v>
      </c>
      <c r="D10" s="31">
        <f>SUM([12]A09!$S$48:$T$48)</f>
        <v>5</v>
      </c>
      <c r="E10" s="31">
        <f>SUM([13]A09!$S$48:$T$48)</f>
        <v>1</v>
      </c>
      <c r="F10" s="31">
        <f>SUM([14]A09!$S$48:$T$48)</f>
        <v>3</v>
      </c>
      <c r="G10" s="31">
        <f>SUM([15]A09!$S$48:$T$48)</f>
        <v>0</v>
      </c>
      <c r="H10" s="31"/>
      <c r="I10" s="31"/>
      <c r="J10" s="31"/>
      <c r="K10" s="31"/>
      <c r="L10" s="31"/>
      <c r="M10" s="31"/>
      <c r="N10" s="31"/>
      <c r="O10" s="32">
        <f t="shared" ref="O10:O14" si="16">SUM(C10:N10)</f>
        <v>9</v>
      </c>
      <c r="P10" s="430">
        <v>207</v>
      </c>
      <c r="Q10" s="239">
        <f t="shared" si="5"/>
        <v>4.3478260869565216E-2</v>
      </c>
      <c r="R10" s="350">
        <f>'RESUMEN INDICADORES'!$F$6</f>
        <v>0.2</v>
      </c>
      <c r="S10" s="238">
        <f>+R10*'RESUMEN INDICADORES'!$D$15</f>
        <v>8.2000000000000003E-2</v>
      </c>
      <c r="T10" s="33">
        <f t="shared" ref="T10:T14" si="17">IF(Q10&gt;=S10,1,+Q10/S10)</f>
        <v>0.53022269353128315</v>
      </c>
      <c r="U10" s="157">
        <f t="shared" si="6"/>
        <v>3.3138918345705197</v>
      </c>
      <c r="X10" s="342">
        <f t="shared" si="7"/>
        <v>0.2</v>
      </c>
      <c r="Y10" s="342">
        <f t="shared" si="8"/>
        <v>4.3478260869565216E-2</v>
      </c>
      <c r="Z10" s="342">
        <f t="shared" si="9"/>
        <v>0.21739130434782608</v>
      </c>
      <c r="AA10" s="337">
        <f t="shared" si="10"/>
        <v>207</v>
      </c>
      <c r="AB10" s="338">
        <f t="shared" si="11"/>
        <v>41.400000000000006</v>
      </c>
      <c r="AC10" s="337">
        <f t="shared" si="12"/>
        <v>9</v>
      </c>
      <c r="AD10" s="338">
        <f t="shared" si="13"/>
        <v>3.4500000000000006</v>
      </c>
      <c r="AE10" s="338">
        <f t="shared" si="14"/>
        <v>41.400000000000006</v>
      </c>
      <c r="AF10" s="337">
        <f t="shared" si="15"/>
        <v>9</v>
      </c>
      <c r="AG10" s="339">
        <f t="shared" si="3"/>
        <v>0.21739130434782605</v>
      </c>
      <c r="AH10" s="414">
        <f t="shared" si="4"/>
        <v>-32.400000000000006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SUM([16]A09!$S$48:$T$48)</f>
        <v>6</v>
      </c>
      <c r="D11" s="31">
        <f>SUM([17]A09!$S$48:$T$48)</f>
        <v>6</v>
      </c>
      <c r="E11" s="31">
        <f>SUM([18]A09!$S$48:$T$48)</f>
        <v>3</v>
      </c>
      <c r="F11" s="31">
        <f>SUM([19]A09!$S$48:$T$48)</f>
        <v>7</v>
      </c>
      <c r="G11" s="31">
        <f>SUM([20]A09!$S$48:$T$48)</f>
        <v>8</v>
      </c>
      <c r="H11" s="31"/>
      <c r="I11" s="31"/>
      <c r="J11" s="31"/>
      <c r="K11" s="31"/>
      <c r="L11" s="31"/>
      <c r="M11" s="31"/>
      <c r="N11" s="31"/>
      <c r="O11" s="32">
        <f t="shared" si="16"/>
        <v>30</v>
      </c>
      <c r="P11" s="430">
        <v>223</v>
      </c>
      <c r="Q11" s="239">
        <f t="shared" si="5"/>
        <v>0.13452914798206278</v>
      </c>
      <c r="R11" s="350">
        <f>'RESUMEN INDICADORES'!$F$6</f>
        <v>0.2</v>
      </c>
      <c r="S11" s="238">
        <f>+R11*'RESUMEN INDICADORES'!$D$15</f>
        <v>8.2000000000000003E-2</v>
      </c>
      <c r="T11" s="33">
        <f t="shared" si="17"/>
        <v>1</v>
      </c>
      <c r="U11" s="157">
        <f t="shared" si="6"/>
        <v>6.25</v>
      </c>
      <c r="X11" s="342">
        <f t="shared" si="7"/>
        <v>0.2</v>
      </c>
      <c r="Y11" s="342">
        <f t="shared" si="8"/>
        <v>0.13452914798206278</v>
      </c>
      <c r="Z11" s="342">
        <f t="shared" si="9"/>
        <v>0.67264573991031384</v>
      </c>
      <c r="AA11" s="337">
        <f t="shared" si="10"/>
        <v>223</v>
      </c>
      <c r="AB11" s="338">
        <f t="shared" si="11"/>
        <v>44.6</v>
      </c>
      <c r="AC11" s="337">
        <f t="shared" si="12"/>
        <v>30</v>
      </c>
      <c r="AD11" s="338">
        <f t="shared" si="13"/>
        <v>3.7166666666666668</v>
      </c>
      <c r="AE11" s="338">
        <f t="shared" si="14"/>
        <v>44.6</v>
      </c>
      <c r="AF11" s="337">
        <f t="shared" si="15"/>
        <v>30</v>
      </c>
      <c r="AG11" s="339">
        <f t="shared" si="3"/>
        <v>0.67264573991031384</v>
      </c>
      <c r="AH11" s="414">
        <f t="shared" si="4"/>
        <v>-14.600000000000001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SUM([21]A09!$S$48:$T$48)</f>
        <v>1</v>
      </c>
      <c r="D12" s="31">
        <f>SUM([22]A09!$S$48:$T$48)</f>
        <v>10</v>
      </c>
      <c r="E12" s="31">
        <f>SUM([23]A09!$S$48:$T$48)</f>
        <v>8</v>
      </c>
      <c r="F12" s="31">
        <f>SUM([24]A09!$S$48:$T$48)</f>
        <v>12</v>
      </c>
      <c r="G12" s="31">
        <f>SUM([25]A09!$S$48:$T$48)</f>
        <v>7</v>
      </c>
      <c r="H12" s="31"/>
      <c r="I12" s="31"/>
      <c r="J12" s="31"/>
      <c r="K12" s="31"/>
      <c r="L12" s="31"/>
      <c r="M12" s="31"/>
      <c r="N12" s="31"/>
      <c r="O12" s="32">
        <f t="shared" si="16"/>
        <v>38</v>
      </c>
      <c r="P12" s="430">
        <v>154</v>
      </c>
      <c r="Q12" s="239">
        <f t="shared" si="5"/>
        <v>0.24675324675324675</v>
      </c>
      <c r="R12" s="350">
        <f>'RESUMEN INDICADORES'!$F$6</f>
        <v>0.2</v>
      </c>
      <c r="S12" s="238">
        <f>+R12*'RESUMEN INDICADORES'!$D$15</f>
        <v>8.2000000000000003E-2</v>
      </c>
      <c r="T12" s="33">
        <f t="shared" si="17"/>
        <v>1</v>
      </c>
      <c r="U12" s="157">
        <f t="shared" si="6"/>
        <v>6.25</v>
      </c>
      <c r="X12" s="342">
        <f t="shared" si="7"/>
        <v>0.2</v>
      </c>
      <c r="Y12" s="342">
        <f t="shared" si="8"/>
        <v>0.24675324675324675</v>
      </c>
      <c r="Z12" s="342">
        <f t="shared" si="9"/>
        <v>1.2337662337662336</v>
      </c>
      <c r="AA12" s="337">
        <f t="shared" si="10"/>
        <v>154</v>
      </c>
      <c r="AB12" s="338">
        <f t="shared" si="11"/>
        <v>30.8</v>
      </c>
      <c r="AC12" s="337">
        <f t="shared" si="12"/>
        <v>38</v>
      </c>
      <c r="AD12" s="338">
        <f t="shared" si="13"/>
        <v>2.5666666666666669</v>
      </c>
      <c r="AE12" s="338">
        <f t="shared" si="14"/>
        <v>30.8</v>
      </c>
      <c r="AF12" s="337">
        <f t="shared" si="15"/>
        <v>38</v>
      </c>
      <c r="AG12" s="339">
        <f t="shared" si="3"/>
        <v>1.2337662337662338</v>
      </c>
      <c r="AH12" s="414">
        <f t="shared" si="4"/>
        <v>7.1999999999999993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SUM([26]A09!$S$48:$T$48)</f>
        <v>2</v>
      </c>
      <c r="D13" s="31">
        <f>SUM([27]A09!$S$48:$T$48)</f>
        <v>5</v>
      </c>
      <c r="E13" s="31">
        <f>SUM([28]A09!$S$48:$T$48)</f>
        <v>1</v>
      </c>
      <c r="F13" s="31">
        <f>SUM([29]A09!$S$48:$T$48)</f>
        <v>0</v>
      </c>
      <c r="G13" s="31">
        <f>SUM([30]A09!$S$48:$T$48)</f>
        <v>0</v>
      </c>
      <c r="H13" s="31"/>
      <c r="I13" s="31"/>
      <c r="J13" s="31"/>
      <c r="K13" s="31"/>
      <c r="L13" s="31"/>
      <c r="M13" s="31"/>
      <c r="N13" s="31"/>
      <c r="O13" s="32">
        <f t="shared" si="16"/>
        <v>8</v>
      </c>
      <c r="P13" s="430">
        <v>13</v>
      </c>
      <c r="Q13" s="239">
        <f t="shared" si="5"/>
        <v>0.61538461538461542</v>
      </c>
      <c r="R13" s="350">
        <f>'RESUMEN INDICADORES'!$F$6</f>
        <v>0.2</v>
      </c>
      <c r="S13" s="238">
        <f>+R13*'RESUMEN INDICADORES'!$D$15</f>
        <v>8.2000000000000003E-2</v>
      </c>
      <c r="T13" s="33">
        <f t="shared" si="17"/>
        <v>1</v>
      </c>
      <c r="U13" s="157">
        <f t="shared" si="6"/>
        <v>6.25</v>
      </c>
      <c r="X13" s="342">
        <f t="shared" si="7"/>
        <v>0.2</v>
      </c>
      <c r="Y13" s="342">
        <f t="shared" si="8"/>
        <v>0.61538461538461542</v>
      </c>
      <c r="Z13" s="342">
        <f t="shared" si="9"/>
        <v>3.0769230769230771</v>
      </c>
      <c r="AA13" s="337">
        <f t="shared" si="10"/>
        <v>13</v>
      </c>
      <c r="AB13" s="338">
        <f t="shared" si="11"/>
        <v>2.6</v>
      </c>
      <c r="AC13" s="337">
        <f t="shared" si="12"/>
        <v>8</v>
      </c>
      <c r="AD13" s="338">
        <f t="shared" si="13"/>
        <v>0.21666666666666667</v>
      </c>
      <c r="AE13" s="338">
        <f t="shared" si="14"/>
        <v>2.6</v>
      </c>
      <c r="AF13" s="337">
        <f t="shared" si="15"/>
        <v>8</v>
      </c>
      <c r="AG13" s="339">
        <f t="shared" si="3"/>
        <v>3.0769230769230766</v>
      </c>
      <c r="AH13" s="414">
        <f t="shared" si="4"/>
        <v>5.4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SUM([31]A09!$S$48:$T$48)</f>
        <v>1</v>
      </c>
      <c r="D14" s="137">
        <f>SUM([32]A09!$S$48:$T$48)</f>
        <v>1</v>
      </c>
      <c r="E14" s="137">
        <f>SUM([33]A09!$S$48:$T$48)</f>
        <v>1</v>
      </c>
      <c r="F14" s="137">
        <f>SUM([34]A09!$S$48:$T$48)</f>
        <v>0</v>
      </c>
      <c r="G14" s="137">
        <f>SUM([35]A09!$S$48:$T$48)</f>
        <v>0</v>
      </c>
      <c r="H14" s="137"/>
      <c r="I14" s="137"/>
      <c r="J14" s="137"/>
      <c r="K14" s="137"/>
      <c r="L14" s="137"/>
      <c r="M14" s="137"/>
      <c r="N14" s="137"/>
      <c r="O14" s="138">
        <f t="shared" si="16"/>
        <v>3</v>
      </c>
      <c r="P14" s="430">
        <v>2</v>
      </c>
      <c r="Q14" s="240">
        <f t="shared" si="5"/>
        <v>1</v>
      </c>
      <c r="R14" s="350">
        <f>'RESUMEN INDICADORES'!$F$6</f>
        <v>0.2</v>
      </c>
      <c r="S14" s="238">
        <f>+R14*'RESUMEN INDICADORES'!$D$15</f>
        <v>8.2000000000000003E-2</v>
      </c>
      <c r="T14" s="158">
        <f t="shared" si="17"/>
        <v>1</v>
      </c>
      <c r="U14" s="159">
        <f t="shared" si="6"/>
        <v>6.25</v>
      </c>
      <c r="X14" s="342">
        <f t="shared" si="7"/>
        <v>0.2</v>
      </c>
      <c r="Y14" s="342">
        <f t="shared" si="8"/>
        <v>1.5</v>
      </c>
      <c r="Z14" s="342">
        <f t="shared" si="9"/>
        <v>7.5</v>
      </c>
      <c r="AA14" s="337">
        <f t="shared" si="10"/>
        <v>2</v>
      </c>
      <c r="AB14" s="338">
        <f t="shared" si="11"/>
        <v>0.4</v>
      </c>
      <c r="AC14" s="337">
        <f t="shared" si="12"/>
        <v>3</v>
      </c>
      <c r="AD14" s="338">
        <f t="shared" si="13"/>
        <v>3.3333333333333333E-2</v>
      </c>
      <c r="AE14" s="338">
        <f t="shared" si="14"/>
        <v>0.4</v>
      </c>
      <c r="AF14" s="337">
        <f t="shared" si="15"/>
        <v>3</v>
      </c>
      <c r="AG14" s="339">
        <f t="shared" si="3"/>
        <v>7.5</v>
      </c>
      <c r="AH14" s="414">
        <f t="shared" si="4"/>
        <v>2.6</v>
      </c>
    </row>
    <row r="15" spans="1:34" s="9" customFormat="1" ht="18" thickBot="1" x14ac:dyDescent="0.3">
      <c r="AC15" s="337"/>
      <c r="AD15" s="338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29</v>
      </c>
      <c r="H16" s="174">
        <f t="shared" si="18"/>
        <v>0</v>
      </c>
      <c r="I16" s="174">
        <f t="shared" si="18"/>
        <v>0</v>
      </c>
      <c r="J16" s="174">
        <f t="shared" si="18"/>
        <v>0</v>
      </c>
      <c r="K16" s="174">
        <f t="shared" si="18"/>
        <v>0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139</v>
      </c>
      <c r="P16" s="168">
        <f>SUM(P8:P14)</f>
        <v>1109</v>
      </c>
      <c r="Q16" s="37">
        <f t="shared" ref="Q16" si="19">IF(P16=0,0,IF(P16&lt;=O16,1,+O16/P16))</f>
        <v>0.12533814247069433</v>
      </c>
      <c r="R16" s="350">
        <f>'RESUMEN INDICADORES'!$F$6</f>
        <v>0.2</v>
      </c>
      <c r="S16" s="238">
        <f>+R16*'RESUMEN INDICADORES'!$D$15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2">
        <f t="shared" si="7"/>
        <v>0.2</v>
      </c>
      <c r="Y16" s="342">
        <f t="shared" ref="Y16" si="22">AC16/AA16</f>
        <v>0.12533814247069433</v>
      </c>
      <c r="Z16" s="342">
        <f t="shared" ref="Z16" si="23">Y16/X16</f>
        <v>0.62669071235347162</v>
      </c>
      <c r="AA16" s="337">
        <f t="shared" si="10"/>
        <v>1109</v>
      </c>
      <c r="AB16" s="338">
        <f t="shared" ref="AB16" si="24">AA16*X16</f>
        <v>221.8</v>
      </c>
      <c r="AC16" s="337">
        <f t="shared" si="12"/>
        <v>139</v>
      </c>
      <c r="AD16" s="338">
        <f t="shared" si="13"/>
        <v>18.483333333333334</v>
      </c>
      <c r="AE16" s="338">
        <f t="shared" si="14"/>
        <v>221.8</v>
      </c>
      <c r="AF16" s="337">
        <f t="shared" si="15"/>
        <v>139</v>
      </c>
      <c r="AG16" s="339">
        <f t="shared" si="3"/>
        <v>0.62669071235347151</v>
      </c>
      <c r="AH16" s="384">
        <f t="shared" ref="AH16" si="25">(AE16-AF16)*-1</f>
        <v>-82.800000000000011</v>
      </c>
    </row>
    <row r="17" spans="2:26" s="9" customFormat="1" x14ac:dyDescent="0.3"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H23" sqref="H23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492" t="s">
        <v>23</v>
      </c>
      <c r="C1" s="492"/>
      <c r="D1" s="492"/>
      <c r="E1" s="492"/>
      <c r="F1" s="492"/>
      <c r="G1" s="492"/>
      <c r="H1" s="492"/>
      <c r="I1" s="492"/>
      <c r="J1" s="492"/>
      <c r="K1" s="492"/>
      <c r="M1" s="61"/>
      <c r="N1" s="61"/>
      <c r="O1" s="61"/>
      <c r="P1" s="61"/>
      <c r="Q1" s="61"/>
      <c r="R1" s="61"/>
      <c r="S1" s="323" t="s">
        <v>169</v>
      </c>
      <c r="T1" s="327">
        <v>12</v>
      </c>
      <c r="U1" s="61"/>
      <c r="V1" s="61"/>
      <c r="W1" s="61"/>
    </row>
    <row r="2" spans="1:23" ht="37.5" customHeight="1" thickBot="1" x14ac:dyDescent="0.35">
      <c r="B2" s="450" t="s">
        <v>352</v>
      </c>
      <c r="C2" s="451"/>
      <c r="D2" s="451"/>
      <c r="E2" s="451"/>
      <c r="F2" s="451"/>
      <c r="G2" s="451"/>
      <c r="H2" s="451"/>
      <c r="I2" s="451"/>
      <c r="J2" s="451"/>
      <c r="K2" s="452"/>
      <c r="M2" s="325"/>
      <c r="N2" s="325"/>
      <c r="O2" s="325"/>
      <c r="P2" s="326"/>
      <c r="Q2" s="325"/>
      <c r="R2" s="325"/>
      <c r="S2" s="333" t="s">
        <v>170</v>
      </c>
      <c r="T2" s="327">
        <v>5</v>
      </c>
      <c r="U2" s="328"/>
      <c r="V2" s="328"/>
      <c r="W2" s="325"/>
    </row>
    <row r="3" spans="1:23" ht="37.5" customHeight="1" thickBot="1" x14ac:dyDescent="0.35">
      <c r="B3" s="115"/>
      <c r="C3" s="451" t="s">
        <v>345</v>
      </c>
      <c r="D3" s="451"/>
      <c r="E3" s="451"/>
      <c r="F3" s="451"/>
      <c r="G3" s="3" t="s">
        <v>128</v>
      </c>
      <c r="H3" s="68"/>
      <c r="I3" s="68"/>
      <c r="J3" s="68"/>
      <c r="K3" s="116"/>
      <c r="M3" s="445" t="s">
        <v>171</v>
      </c>
      <c r="N3" s="445" t="s">
        <v>172</v>
      </c>
      <c r="O3" s="445" t="s">
        <v>173</v>
      </c>
      <c r="P3" s="445" t="s">
        <v>174</v>
      </c>
      <c r="Q3" s="445" t="s">
        <v>175</v>
      </c>
      <c r="R3" s="445" t="s">
        <v>176</v>
      </c>
      <c r="S3" s="445" t="s">
        <v>206</v>
      </c>
      <c r="T3" s="445" t="s">
        <v>205</v>
      </c>
      <c r="U3" s="445" t="s">
        <v>177</v>
      </c>
      <c r="V3" s="445" t="s">
        <v>178</v>
      </c>
      <c r="W3" s="445" t="s">
        <v>179</v>
      </c>
    </row>
    <row r="4" spans="1:23" ht="22.5" customHeight="1" thickBot="1" x14ac:dyDescent="0.35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26" t="s">
        <v>18</v>
      </c>
      <c r="H4" s="514" t="s">
        <v>11</v>
      </c>
      <c r="I4" s="515"/>
      <c r="J4" s="515"/>
      <c r="K4" s="516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</row>
    <row r="5" spans="1:23" ht="61.5" customHeight="1" thickBot="1" x14ac:dyDescent="0.35">
      <c r="A5" s="485"/>
      <c r="B5" s="485"/>
      <c r="C5" s="534" t="s">
        <v>41</v>
      </c>
      <c r="D5" s="535"/>
      <c r="E5" s="535"/>
      <c r="F5" s="535"/>
      <c r="G5" s="523" t="s">
        <v>42</v>
      </c>
      <c r="H5" s="517"/>
      <c r="I5" s="518"/>
      <c r="J5" s="518"/>
      <c r="K5" s="519"/>
      <c r="M5" s="532" t="s">
        <v>180</v>
      </c>
      <c r="N5" s="532" t="s">
        <v>181</v>
      </c>
      <c r="O5" s="532" t="s">
        <v>182</v>
      </c>
      <c r="P5" s="482" t="s">
        <v>183</v>
      </c>
      <c r="Q5" s="482" t="s">
        <v>184</v>
      </c>
      <c r="R5" s="482" t="s">
        <v>185</v>
      </c>
      <c r="S5" s="482" t="s">
        <v>204</v>
      </c>
      <c r="T5" s="482" t="s">
        <v>187</v>
      </c>
      <c r="U5" s="482" t="s">
        <v>188</v>
      </c>
      <c r="V5" s="533" t="s">
        <v>189</v>
      </c>
      <c r="W5" s="481" t="s">
        <v>190</v>
      </c>
    </row>
    <row r="6" spans="1:23" ht="24" customHeight="1" thickBot="1" x14ac:dyDescent="0.35">
      <c r="A6" s="485"/>
      <c r="B6" s="485"/>
      <c r="C6" s="501" t="s">
        <v>26</v>
      </c>
      <c r="D6" s="502"/>
      <c r="E6" s="502"/>
      <c r="F6" s="503"/>
      <c r="G6" s="536"/>
      <c r="H6" s="517"/>
      <c r="I6" s="518"/>
      <c r="J6" s="518"/>
      <c r="K6" s="519"/>
      <c r="M6" s="532"/>
      <c r="N6" s="532"/>
      <c r="O6" s="532"/>
      <c r="P6" s="482"/>
      <c r="Q6" s="482"/>
      <c r="R6" s="482"/>
      <c r="S6" s="482"/>
      <c r="T6" s="482"/>
      <c r="U6" s="482"/>
      <c r="V6" s="533"/>
      <c r="W6" s="481"/>
    </row>
    <row r="7" spans="1:23" s="9" customFormat="1" ht="35.25" thickBot="1" x14ac:dyDescent="0.3">
      <c r="A7" s="485"/>
      <c r="B7" s="485"/>
      <c r="C7" s="145" t="s">
        <v>27</v>
      </c>
      <c r="D7" s="145" t="s">
        <v>28</v>
      </c>
      <c r="E7" s="145" t="s">
        <v>29</v>
      </c>
      <c r="F7" s="145" t="s">
        <v>30</v>
      </c>
      <c r="G7" s="536"/>
      <c r="H7" s="194" t="s">
        <v>35</v>
      </c>
      <c r="I7" s="195" t="s">
        <v>13</v>
      </c>
      <c r="J7" s="196" t="s">
        <v>37</v>
      </c>
      <c r="K7" s="170" t="s">
        <v>38</v>
      </c>
      <c r="M7" s="334" t="s">
        <v>191</v>
      </c>
      <c r="N7" s="334" t="s">
        <v>192</v>
      </c>
      <c r="O7" s="334" t="s">
        <v>193</v>
      </c>
      <c r="P7" s="334" t="s">
        <v>194</v>
      </c>
      <c r="Q7" s="334" t="s">
        <v>195</v>
      </c>
      <c r="R7" s="334" t="s">
        <v>196</v>
      </c>
      <c r="S7" s="334" t="s">
        <v>197</v>
      </c>
      <c r="T7" s="334" t="s">
        <v>198</v>
      </c>
      <c r="U7" s="334" t="s">
        <v>199</v>
      </c>
      <c r="V7" s="334" t="s">
        <v>200</v>
      </c>
      <c r="W7" s="341" t="s">
        <v>201</v>
      </c>
    </row>
    <row r="8" spans="1:23" s="9" customFormat="1" ht="39.950000000000003" customHeight="1" x14ac:dyDescent="0.3">
      <c r="A8" s="144"/>
      <c r="B8" s="221" t="s">
        <v>121</v>
      </c>
      <c r="C8" s="244">
        <f>SUM('[43]ADU-ex-mar'!$AH$23:$AI$24,'[43]ADU-ex-mar'!$H$23:$AG$23)</f>
        <v>739</v>
      </c>
      <c r="D8" s="244"/>
      <c r="E8" s="244"/>
      <c r="F8" s="244"/>
      <c r="G8" s="241">
        <f>Poblac!P5</f>
        <v>2085.7440336</v>
      </c>
      <c r="H8" s="199">
        <f>IF(G8=0,0,IF(G8&lt;=C8,1,+C8/G8))</f>
        <v>0.35431001508103749</v>
      </c>
      <c r="I8" s="199">
        <f>'RESUMEN INDICADORES'!$F$7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405">
        <f t="shared" ref="M8:M14" si="2">I8</f>
        <v>0.253</v>
      </c>
      <c r="N8" s="405">
        <f>R8/P8</f>
        <v>0.35431001508103749</v>
      </c>
      <c r="O8" s="405">
        <f>N8/M8</f>
        <v>1.4004348422175394</v>
      </c>
      <c r="P8" s="337">
        <f t="shared" ref="P8:P14" si="3">G8</f>
        <v>2085.7440336</v>
      </c>
      <c r="Q8" s="338">
        <f>P8*M8</f>
        <v>527.69324050080002</v>
      </c>
      <c r="R8" s="337">
        <f>C8</f>
        <v>739</v>
      </c>
      <c r="S8" s="337">
        <f t="shared" ref="S8:S14" si="4">G8</f>
        <v>2085.7440336</v>
      </c>
      <c r="T8" s="338">
        <f>S8*M8</f>
        <v>527.69324050080002</v>
      </c>
      <c r="U8" s="337">
        <f>C8</f>
        <v>739</v>
      </c>
      <c r="V8" s="339">
        <f t="shared" ref="V8:V16" si="5">IFERROR(U8/T8,0)</f>
        <v>1.4004348422175394</v>
      </c>
      <c r="W8" s="414">
        <f t="shared" ref="W8:W14" si="6">(T8-U8)*-1</f>
        <v>211.30675949919998</v>
      </c>
    </row>
    <row r="9" spans="1:23" s="9" customFormat="1" ht="39.950000000000003" customHeight="1" x14ac:dyDescent="0.3">
      <c r="A9" s="144"/>
      <c r="B9" s="222" t="s">
        <v>119</v>
      </c>
      <c r="C9" s="245">
        <f>SUM('[44]ADU-ex-mar'!$AH$23:$AI$24,'[44]ADU-ex-mar'!$H$23:$AG$23)</f>
        <v>700</v>
      </c>
      <c r="D9" s="245"/>
      <c r="E9" s="245"/>
      <c r="F9" s="245"/>
      <c r="G9" s="242">
        <f>Poblac!P6</f>
        <v>2923.9560000000001</v>
      </c>
      <c r="H9" s="198">
        <f t="shared" ref="H9:H14" si="7">IF(G9=0,0,IF(G9&lt;=C9,1,+C9/G9))</f>
        <v>0.23940168730309211</v>
      </c>
      <c r="I9" s="198">
        <f>'RESUMEN INDICADORES'!$F$7</f>
        <v>0.253</v>
      </c>
      <c r="J9" s="231">
        <f t="shared" ref="J9:J14" si="8">IF(H9&gt;=I9,1,+H9/I9)</f>
        <v>0.94625172847071981</v>
      </c>
      <c r="K9" s="235">
        <f t="shared" ref="K9:K14" si="9">IF(H9&gt;=I9,6.25,((H9/I9)*6.25))</f>
        <v>5.9140733029419987</v>
      </c>
      <c r="M9" s="405">
        <f t="shared" si="2"/>
        <v>0.253</v>
      </c>
      <c r="N9" s="405">
        <f t="shared" ref="N9:N14" si="10">R9/P9</f>
        <v>0.23940168730309211</v>
      </c>
      <c r="O9" s="405">
        <f t="shared" ref="O9:O14" si="11">N9/M9</f>
        <v>0.94625172847071981</v>
      </c>
      <c r="P9" s="337">
        <f t="shared" si="3"/>
        <v>2923.9560000000001</v>
      </c>
      <c r="Q9" s="338">
        <f t="shared" ref="Q9:Q14" si="12">P9*M9</f>
        <v>739.76086800000007</v>
      </c>
      <c r="R9" s="337">
        <f t="shared" ref="R9:R16" si="13">C9</f>
        <v>700</v>
      </c>
      <c r="S9" s="337">
        <f t="shared" si="4"/>
        <v>2923.9560000000001</v>
      </c>
      <c r="T9" s="338">
        <f t="shared" ref="T9:T16" si="14">S9*M9</f>
        <v>739.76086800000007</v>
      </c>
      <c r="U9" s="337">
        <f t="shared" ref="U9:U16" si="15">C9</f>
        <v>700</v>
      </c>
      <c r="V9" s="339">
        <f t="shared" si="5"/>
        <v>0.9462517284707197</v>
      </c>
      <c r="W9" s="414">
        <f t="shared" si="6"/>
        <v>-39.760868000000073</v>
      </c>
    </row>
    <row r="10" spans="1:23" s="9" customFormat="1" ht="39.950000000000003" customHeight="1" x14ac:dyDescent="0.3">
      <c r="A10" s="144"/>
      <c r="B10" s="222" t="s">
        <v>120</v>
      </c>
      <c r="C10" s="245">
        <f>SUM('[45]ADU-ex-mar'!$AH$23:$AI$24,'[45]ADU-ex-mar'!$H$23:$AG$23)</f>
        <v>433</v>
      </c>
      <c r="D10" s="245"/>
      <c r="E10" s="245"/>
      <c r="F10" s="245"/>
      <c r="G10" s="242">
        <f>Poblac!P7</f>
        <v>2040.6179999999999</v>
      </c>
      <c r="H10" s="198">
        <f t="shared" si="7"/>
        <v>0.21219062068451813</v>
      </c>
      <c r="I10" s="198">
        <f>'RESUMEN INDICADORES'!$F$7</f>
        <v>0.253</v>
      </c>
      <c r="J10" s="231">
        <f t="shared" si="8"/>
        <v>0.83869810547240364</v>
      </c>
      <c r="K10" s="235">
        <f t="shared" si="9"/>
        <v>5.2418631592025227</v>
      </c>
      <c r="M10" s="405">
        <f t="shared" si="2"/>
        <v>0.253</v>
      </c>
      <c r="N10" s="405">
        <f t="shared" si="10"/>
        <v>0.21219062068451813</v>
      </c>
      <c r="O10" s="405">
        <f t="shared" si="11"/>
        <v>0.83869810547240364</v>
      </c>
      <c r="P10" s="337">
        <f t="shared" si="3"/>
        <v>2040.6179999999999</v>
      </c>
      <c r="Q10" s="338">
        <f t="shared" si="12"/>
        <v>516.27635399999997</v>
      </c>
      <c r="R10" s="337">
        <f t="shared" si="13"/>
        <v>433</v>
      </c>
      <c r="S10" s="337">
        <f t="shared" si="4"/>
        <v>2040.6179999999999</v>
      </c>
      <c r="T10" s="338">
        <f t="shared" si="14"/>
        <v>516.27635399999997</v>
      </c>
      <c r="U10" s="337">
        <f t="shared" si="15"/>
        <v>433</v>
      </c>
      <c r="V10" s="339">
        <f t="shared" si="5"/>
        <v>0.83869810547240364</v>
      </c>
      <c r="W10" s="414">
        <f t="shared" si="6"/>
        <v>-83.276353999999969</v>
      </c>
    </row>
    <row r="11" spans="1:23" s="9" customFormat="1" ht="39.950000000000003" customHeight="1" x14ac:dyDescent="0.3">
      <c r="A11" s="144"/>
      <c r="B11" s="222" t="s">
        <v>118</v>
      </c>
      <c r="C11" s="245">
        <f>SUM('[46]ADU-ex-mar'!$AH$23:$AI$24,'[46]ADU-ex-mar'!$H$23:$AG$23)</f>
        <v>1247</v>
      </c>
      <c r="D11" s="245"/>
      <c r="E11" s="245"/>
      <c r="F11" s="245"/>
      <c r="G11" s="242">
        <f>Poblac!P8</f>
        <v>5497.8633989999998</v>
      </c>
      <c r="H11" s="198">
        <f t="shared" si="7"/>
        <v>0.22681538435946141</v>
      </c>
      <c r="I11" s="198">
        <f>'RESUMEN INDICADORES'!$F$7</f>
        <v>0.253</v>
      </c>
      <c r="J11" s="231">
        <f t="shared" si="8"/>
        <v>0.8965034954919423</v>
      </c>
      <c r="K11" s="235">
        <f t="shared" si="9"/>
        <v>5.6031468468246395</v>
      </c>
      <c r="M11" s="405">
        <f t="shared" si="2"/>
        <v>0.253</v>
      </c>
      <c r="N11" s="405">
        <f t="shared" si="10"/>
        <v>0.22681538435946141</v>
      </c>
      <c r="O11" s="405">
        <f t="shared" si="11"/>
        <v>0.8965034954919423</v>
      </c>
      <c r="P11" s="337">
        <f t="shared" si="3"/>
        <v>5497.8633989999998</v>
      </c>
      <c r="Q11" s="338">
        <f t="shared" si="12"/>
        <v>1390.959439947</v>
      </c>
      <c r="R11" s="337">
        <f t="shared" si="13"/>
        <v>1247</v>
      </c>
      <c r="S11" s="337">
        <f t="shared" si="4"/>
        <v>5497.8633989999998</v>
      </c>
      <c r="T11" s="338">
        <f t="shared" si="14"/>
        <v>1390.959439947</v>
      </c>
      <c r="U11" s="337">
        <f t="shared" si="15"/>
        <v>1247</v>
      </c>
      <c r="V11" s="339">
        <f t="shared" si="5"/>
        <v>0.89650349549194241</v>
      </c>
      <c r="W11" s="414">
        <f t="shared" si="6"/>
        <v>-143.95943994699996</v>
      </c>
    </row>
    <row r="12" spans="1:23" s="9" customFormat="1" ht="39.950000000000003" customHeight="1" x14ac:dyDescent="0.3">
      <c r="A12" s="144"/>
      <c r="B12" s="222" t="s">
        <v>122</v>
      </c>
      <c r="C12" s="245">
        <f>SUM('[47]ADU-ex-mar'!$AH$23:$AI$24,'[47]ADU-ex-mar'!$H$23:$AG$23)</f>
        <v>309</v>
      </c>
      <c r="D12" s="245"/>
      <c r="E12" s="245"/>
      <c r="F12" s="245"/>
      <c r="G12" s="242">
        <f>Poblac!P9</f>
        <v>2011.9470000000001</v>
      </c>
      <c r="H12" s="198">
        <f t="shared" si="7"/>
        <v>0.15358257449127635</v>
      </c>
      <c r="I12" s="198">
        <f>'RESUMEN INDICADORES'!$F$7</f>
        <v>0.253</v>
      </c>
      <c r="J12" s="231">
        <f t="shared" si="8"/>
        <v>0.60704574897737684</v>
      </c>
      <c r="K12" s="235">
        <f t="shared" si="9"/>
        <v>3.7940359311086054</v>
      </c>
      <c r="M12" s="405">
        <f t="shared" si="2"/>
        <v>0.253</v>
      </c>
      <c r="N12" s="405">
        <f t="shared" si="10"/>
        <v>0.15358257449127635</v>
      </c>
      <c r="O12" s="405">
        <f t="shared" si="11"/>
        <v>0.60704574897737684</v>
      </c>
      <c r="P12" s="337">
        <f t="shared" si="3"/>
        <v>2011.9470000000001</v>
      </c>
      <c r="Q12" s="338">
        <f t="shared" si="12"/>
        <v>509.02259100000003</v>
      </c>
      <c r="R12" s="337">
        <f t="shared" si="13"/>
        <v>309</v>
      </c>
      <c r="S12" s="337">
        <f t="shared" si="4"/>
        <v>2011.9470000000001</v>
      </c>
      <c r="T12" s="338">
        <f t="shared" si="14"/>
        <v>509.02259100000003</v>
      </c>
      <c r="U12" s="337">
        <f t="shared" si="15"/>
        <v>309</v>
      </c>
      <c r="V12" s="339">
        <f t="shared" si="5"/>
        <v>0.60704574897737684</v>
      </c>
      <c r="W12" s="414">
        <f t="shared" si="6"/>
        <v>-200.02259100000003</v>
      </c>
    </row>
    <row r="13" spans="1:23" s="9" customFormat="1" ht="39.950000000000003" customHeight="1" x14ac:dyDescent="0.3">
      <c r="A13" s="144"/>
      <c r="B13" s="222" t="s">
        <v>123</v>
      </c>
      <c r="C13" s="245">
        <f>SUM('[48]ADU-ex-mar'!$AH$23:$AI$24,'[48]ADU-ex-mar'!$H$23:$AG$23)</f>
        <v>184</v>
      </c>
      <c r="D13" s="245"/>
      <c r="E13" s="245"/>
      <c r="F13" s="245"/>
      <c r="G13" s="242">
        <f>Poblac!P10</f>
        <v>550.43396640000003</v>
      </c>
      <c r="H13" s="198">
        <f t="shared" si="7"/>
        <v>0.33428169631938615</v>
      </c>
      <c r="I13" s="198">
        <f>'RESUMEN INDICADORES'!$F$7</f>
        <v>0.253</v>
      </c>
      <c r="J13" s="231">
        <f t="shared" si="8"/>
        <v>1</v>
      </c>
      <c r="K13" s="235">
        <f t="shared" si="9"/>
        <v>6.25</v>
      </c>
      <c r="M13" s="405">
        <f t="shared" si="2"/>
        <v>0.253</v>
      </c>
      <c r="N13" s="405">
        <f t="shared" si="10"/>
        <v>0.33428169631938615</v>
      </c>
      <c r="O13" s="405">
        <f t="shared" si="11"/>
        <v>1.3212715269540953</v>
      </c>
      <c r="P13" s="337">
        <f t="shared" si="3"/>
        <v>550.43396640000003</v>
      </c>
      <c r="Q13" s="338">
        <f t="shared" si="12"/>
        <v>139.25979349920001</v>
      </c>
      <c r="R13" s="337">
        <f t="shared" si="13"/>
        <v>184</v>
      </c>
      <c r="S13" s="337">
        <f t="shared" si="4"/>
        <v>550.43396640000003</v>
      </c>
      <c r="T13" s="338">
        <f t="shared" si="14"/>
        <v>139.25979349920001</v>
      </c>
      <c r="U13" s="337">
        <f t="shared" si="15"/>
        <v>184</v>
      </c>
      <c r="V13" s="339">
        <f t="shared" si="5"/>
        <v>1.3212715269540953</v>
      </c>
      <c r="W13" s="414">
        <f t="shared" si="6"/>
        <v>44.740206500799985</v>
      </c>
    </row>
    <row r="14" spans="1:23" s="9" customFormat="1" ht="39.950000000000003" customHeight="1" thickBot="1" x14ac:dyDescent="0.35">
      <c r="A14" s="144"/>
      <c r="B14" s="223" t="s">
        <v>124</v>
      </c>
      <c r="C14" s="246">
        <f>SUM('[49]ADU-ex-mar'!$AH$23:$AI$24,'[49]ADU-ex-mar'!$H$23:$AG$23)</f>
        <v>25</v>
      </c>
      <c r="D14" s="246"/>
      <c r="E14" s="246"/>
      <c r="F14" s="246"/>
      <c r="G14" s="243">
        <f>Poblac!P11</f>
        <v>72.413601</v>
      </c>
      <c r="H14" s="204">
        <f t="shared" si="7"/>
        <v>0.34523901110787186</v>
      </c>
      <c r="I14" s="204">
        <f>'RESUMEN INDICADORES'!$F$7</f>
        <v>0.253</v>
      </c>
      <c r="J14" s="232">
        <f t="shared" si="8"/>
        <v>1</v>
      </c>
      <c r="K14" s="236">
        <f t="shared" si="9"/>
        <v>6.25</v>
      </c>
      <c r="M14" s="405">
        <f t="shared" si="2"/>
        <v>0.253</v>
      </c>
      <c r="N14" s="405">
        <f t="shared" si="10"/>
        <v>0.34523901110787186</v>
      </c>
      <c r="O14" s="405">
        <f t="shared" si="11"/>
        <v>1.3645810715726161</v>
      </c>
      <c r="P14" s="337">
        <f t="shared" si="3"/>
        <v>72.413601</v>
      </c>
      <c r="Q14" s="338">
        <f t="shared" si="12"/>
        <v>18.320641052999999</v>
      </c>
      <c r="R14" s="337">
        <f t="shared" si="13"/>
        <v>25</v>
      </c>
      <c r="S14" s="337">
        <f t="shared" si="4"/>
        <v>72.413601</v>
      </c>
      <c r="T14" s="338">
        <f t="shared" si="14"/>
        <v>18.320641052999999</v>
      </c>
      <c r="U14" s="337">
        <f t="shared" si="15"/>
        <v>25</v>
      </c>
      <c r="V14" s="339">
        <f t="shared" si="5"/>
        <v>1.3645810715726161</v>
      </c>
      <c r="W14" s="414">
        <f t="shared" si="6"/>
        <v>6.6793589470000008</v>
      </c>
    </row>
    <row r="15" spans="1:23" s="9" customFormat="1" ht="18" thickBot="1" x14ac:dyDescent="0.3">
      <c r="W15" s="340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6">SUM(D8:D14)</f>
        <v>0</v>
      </c>
      <c r="E16" s="174">
        <f t="shared" si="16"/>
        <v>0</v>
      </c>
      <c r="F16" s="174">
        <f t="shared" si="16"/>
        <v>0</v>
      </c>
      <c r="G16" s="321">
        <f>SUM(G8:G14)</f>
        <v>15182.976000000001</v>
      </c>
      <c r="H16" s="53">
        <f>IF(G16=0,0,IF(G16&lt;=F16,1,+F16/G16))</f>
        <v>0</v>
      </c>
      <c r="I16" s="352">
        <f>'RESUMEN INDICADORES'!$F$7</f>
        <v>0.253</v>
      </c>
      <c r="J16" s="19">
        <f t="shared" ref="J16" si="17">IF(H16&gt;=I16,1,+H16/I16)</f>
        <v>0</v>
      </c>
      <c r="K16" s="39">
        <f t="shared" ref="K16" si="18">IF(H16&gt;=I16,6.25,((H16/I16)*6.25))</f>
        <v>0</v>
      </c>
      <c r="M16" s="405">
        <f>I16</f>
        <v>0.253</v>
      </c>
      <c r="N16" s="405">
        <f t="shared" ref="N16" si="19">R16/P16</f>
        <v>0.23954460574791134</v>
      </c>
      <c r="O16" s="405">
        <f t="shared" ref="O16" si="20">N16/M16</f>
        <v>0.946816623509531</v>
      </c>
      <c r="P16" s="337">
        <f>G16</f>
        <v>15182.976000000001</v>
      </c>
      <c r="Q16" s="338">
        <f t="shared" ref="Q16" si="21">P16*M16</f>
        <v>3841.2929280000003</v>
      </c>
      <c r="R16" s="337">
        <f t="shared" si="13"/>
        <v>3637</v>
      </c>
      <c r="S16" s="337">
        <f>G16</f>
        <v>15182.976000000001</v>
      </c>
      <c r="T16" s="338">
        <f t="shared" si="14"/>
        <v>3841.2929280000003</v>
      </c>
      <c r="U16" s="337">
        <f t="shared" si="15"/>
        <v>3637</v>
      </c>
      <c r="V16" s="339">
        <f t="shared" si="5"/>
        <v>0.94681662350953089</v>
      </c>
      <c r="W16" s="384">
        <f t="shared" ref="W16" si="22">(T16-U16)*-1</f>
        <v>-204.2929280000003</v>
      </c>
    </row>
    <row r="17" spans="1:11" s="9" customFormat="1" x14ac:dyDescent="0.3">
      <c r="A17" s="2"/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G23" sqref="G23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0.42578125" style="2" hidden="1" customWidth="1"/>
    <col min="15" max="15" width="24" style="2" hidden="1" customWidth="1"/>
    <col min="16" max="16" width="19.2851562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492" t="s">
        <v>23</v>
      </c>
      <c r="C1" s="492"/>
      <c r="D1" s="492"/>
      <c r="E1" s="492"/>
      <c r="F1" s="492"/>
      <c r="G1" s="492"/>
      <c r="H1" s="492"/>
      <c r="I1" s="492"/>
      <c r="J1" s="492"/>
      <c r="K1" s="492"/>
      <c r="R1" s="61"/>
      <c r="S1" s="61"/>
      <c r="T1" s="61"/>
      <c r="U1" s="61"/>
      <c r="V1" s="61"/>
      <c r="W1" s="61"/>
      <c r="X1" s="323" t="s">
        <v>169</v>
      </c>
      <c r="Y1" s="327">
        <v>12</v>
      </c>
      <c r="Z1" s="61"/>
      <c r="AA1" s="61"/>
      <c r="AB1" s="61"/>
    </row>
    <row r="2" spans="1:28" ht="57.75" customHeight="1" thickBot="1" x14ac:dyDescent="0.4">
      <c r="B2" s="450" t="s">
        <v>43</v>
      </c>
      <c r="C2" s="451"/>
      <c r="D2" s="451"/>
      <c r="E2" s="451"/>
      <c r="F2" s="451"/>
      <c r="G2" s="451"/>
      <c r="H2" s="451"/>
      <c r="I2" s="451"/>
      <c r="J2" s="451"/>
      <c r="K2" s="452"/>
      <c r="L2" s="50"/>
      <c r="R2" s="325"/>
      <c r="S2" s="325"/>
      <c r="T2" s="325"/>
      <c r="U2" s="326"/>
      <c r="V2" s="325"/>
      <c r="W2" s="325"/>
      <c r="X2" s="333" t="s">
        <v>170</v>
      </c>
      <c r="Y2" s="327">
        <v>3</v>
      </c>
      <c r="Z2" s="328"/>
      <c r="AA2" s="328"/>
      <c r="AB2" s="325"/>
    </row>
    <row r="3" spans="1:28" ht="57.75" customHeight="1" thickBot="1" x14ac:dyDescent="0.4">
      <c r="B3" s="115"/>
      <c r="C3" s="451" t="s">
        <v>315</v>
      </c>
      <c r="D3" s="451"/>
      <c r="E3" s="451"/>
      <c r="F3" s="451"/>
      <c r="G3" s="3" t="s">
        <v>129</v>
      </c>
      <c r="H3" s="68"/>
      <c r="I3" s="68"/>
      <c r="J3" s="68"/>
      <c r="K3" s="116"/>
      <c r="L3" s="50"/>
      <c r="R3" s="445" t="s">
        <v>171</v>
      </c>
      <c r="S3" s="445" t="s">
        <v>172</v>
      </c>
      <c r="T3" s="445" t="s">
        <v>173</v>
      </c>
      <c r="U3" s="445" t="s">
        <v>174</v>
      </c>
      <c r="V3" s="445" t="s">
        <v>175</v>
      </c>
      <c r="W3" s="445" t="s">
        <v>176</v>
      </c>
      <c r="X3" s="445" t="s">
        <v>206</v>
      </c>
      <c r="Y3" s="445" t="s">
        <v>205</v>
      </c>
      <c r="Z3" s="445" t="s">
        <v>177</v>
      </c>
      <c r="AA3" s="445" t="s">
        <v>178</v>
      </c>
      <c r="AB3" s="445" t="s">
        <v>179</v>
      </c>
    </row>
    <row r="4" spans="1:28" ht="18.75" customHeight="1" thickBot="1" x14ac:dyDescent="0.4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26" t="s">
        <v>18</v>
      </c>
      <c r="H4" s="514" t="s">
        <v>11</v>
      </c>
      <c r="I4" s="515"/>
      <c r="J4" s="515"/>
      <c r="K4" s="516"/>
      <c r="L4" s="47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28" ht="53.25" customHeight="1" thickBot="1" x14ac:dyDescent="0.35">
      <c r="A5" s="485"/>
      <c r="B5" s="485"/>
      <c r="C5" s="534" t="s">
        <v>44</v>
      </c>
      <c r="D5" s="535"/>
      <c r="E5" s="535"/>
      <c r="F5" s="535"/>
      <c r="G5" s="543" t="s">
        <v>45</v>
      </c>
      <c r="H5" s="517"/>
      <c r="I5" s="518"/>
      <c r="J5" s="518"/>
      <c r="K5" s="519"/>
      <c r="N5" s="256" t="s">
        <v>166</v>
      </c>
      <c r="O5" s="257" t="s">
        <v>167</v>
      </c>
      <c r="P5" s="258" t="s">
        <v>168</v>
      </c>
      <c r="R5" s="532" t="s">
        <v>180</v>
      </c>
      <c r="S5" s="532" t="s">
        <v>181</v>
      </c>
      <c r="T5" s="532" t="s">
        <v>182</v>
      </c>
      <c r="U5" s="482" t="s">
        <v>183</v>
      </c>
      <c r="V5" s="482" t="s">
        <v>184</v>
      </c>
      <c r="W5" s="482" t="s">
        <v>185</v>
      </c>
      <c r="X5" s="482" t="s">
        <v>204</v>
      </c>
      <c r="Y5" s="482" t="s">
        <v>187</v>
      </c>
      <c r="Z5" s="482" t="s">
        <v>188</v>
      </c>
      <c r="AA5" s="533" t="s">
        <v>189</v>
      </c>
      <c r="AB5" s="481" t="s">
        <v>190</v>
      </c>
    </row>
    <row r="6" spans="1:28" ht="18.75" customHeight="1" thickBot="1" x14ac:dyDescent="0.35">
      <c r="A6" s="485"/>
      <c r="B6" s="485"/>
      <c r="C6" s="534" t="s">
        <v>46</v>
      </c>
      <c r="D6" s="535"/>
      <c r="E6" s="535"/>
      <c r="F6" s="545"/>
      <c r="G6" s="544"/>
      <c r="H6" s="517"/>
      <c r="I6" s="518"/>
      <c r="J6" s="518"/>
      <c r="K6" s="519"/>
      <c r="N6" s="537" t="s">
        <v>45</v>
      </c>
      <c r="O6" s="539" t="s">
        <v>45</v>
      </c>
      <c r="P6" s="541" t="s">
        <v>45</v>
      </c>
      <c r="R6" s="532"/>
      <c r="S6" s="532"/>
      <c r="T6" s="532"/>
      <c r="U6" s="482"/>
      <c r="V6" s="482"/>
      <c r="W6" s="482"/>
      <c r="X6" s="482"/>
      <c r="Y6" s="482"/>
      <c r="Z6" s="482"/>
      <c r="AA6" s="533"/>
      <c r="AB6" s="481"/>
    </row>
    <row r="7" spans="1:28" s="9" customFormat="1" ht="39.75" customHeight="1" thickBot="1" x14ac:dyDescent="0.3">
      <c r="A7" s="485"/>
      <c r="B7" s="485"/>
      <c r="C7" s="145" t="s">
        <v>27</v>
      </c>
      <c r="D7" s="145" t="s">
        <v>28</v>
      </c>
      <c r="E7" s="145" t="s">
        <v>29</v>
      </c>
      <c r="F7" s="145" t="s">
        <v>30</v>
      </c>
      <c r="G7" s="536"/>
      <c r="H7" s="197" t="s">
        <v>35</v>
      </c>
      <c r="I7" s="169" t="s">
        <v>13</v>
      </c>
      <c r="J7" s="259" t="s">
        <v>37</v>
      </c>
      <c r="K7" s="259" t="s">
        <v>38</v>
      </c>
      <c r="N7" s="538"/>
      <c r="O7" s="540"/>
      <c r="P7" s="542"/>
      <c r="R7" s="334" t="s">
        <v>191</v>
      </c>
      <c r="S7" s="334" t="s">
        <v>192</v>
      </c>
      <c r="T7" s="334" t="s">
        <v>193</v>
      </c>
      <c r="U7" s="334" t="s">
        <v>194</v>
      </c>
      <c r="V7" s="334" t="s">
        <v>195</v>
      </c>
      <c r="W7" s="334" t="s">
        <v>196</v>
      </c>
      <c r="X7" s="334" t="s">
        <v>197</v>
      </c>
      <c r="Y7" s="334" t="s">
        <v>198</v>
      </c>
      <c r="Z7" s="334" t="s">
        <v>199</v>
      </c>
      <c r="AA7" s="334" t="s">
        <v>200</v>
      </c>
      <c r="AB7" s="341" t="s">
        <v>201</v>
      </c>
    </row>
    <row r="8" spans="1:28" s="9" customFormat="1" ht="39.950000000000003" customHeight="1" x14ac:dyDescent="0.3">
      <c r="A8" s="144"/>
      <c r="B8" s="221" t="s">
        <v>121</v>
      </c>
      <c r="C8" s="244">
        <f>SUM('[43]ADU-ex-mar'!$H$75:$AI$78)</f>
        <v>1348</v>
      </c>
      <c r="D8" s="244"/>
      <c r="E8" s="244"/>
      <c r="F8" s="244"/>
      <c r="G8" s="253">
        <f>N8</f>
        <v>1351</v>
      </c>
      <c r="H8" s="250">
        <f>IF(G8=0,0,IF(G8&lt;=C8,1,+C8/G8))</f>
        <v>0.99777942264988895</v>
      </c>
      <c r="I8" s="250">
        <f>'RESUMEN INDICADORES'!$F$8</f>
        <v>0.9</v>
      </c>
      <c r="J8" s="201">
        <f t="shared" ref="J8:J14" si="0">IF(H8&gt;=I8,1,+H8/I8)</f>
        <v>1</v>
      </c>
      <c r="K8" s="200">
        <f t="shared" ref="K8:K14" si="1">IF(H8&gt;=I8,6.25,((H8/I8)*6.25))</f>
        <v>6.25</v>
      </c>
      <c r="N8" s="253">
        <f>SUM('[43]ADU-ex-mar'!$E$28)</f>
        <v>1351</v>
      </c>
      <c r="O8" s="253"/>
      <c r="P8" s="253"/>
      <c r="R8" s="405">
        <f t="shared" ref="R8:R14" si="2">I8</f>
        <v>0.9</v>
      </c>
      <c r="S8" s="405">
        <f>W8/U8</f>
        <v>0.99777942264988895</v>
      </c>
      <c r="T8" s="405">
        <f>S8/R8</f>
        <v>1.1086438029443211</v>
      </c>
      <c r="U8" s="337">
        <f t="shared" ref="U8:U14" si="3">G8</f>
        <v>1351</v>
      </c>
      <c r="V8" s="338">
        <f>U8*R8</f>
        <v>1215.9000000000001</v>
      </c>
      <c r="W8" s="337">
        <f t="shared" ref="W8:W14" si="4">C8</f>
        <v>1348</v>
      </c>
      <c r="X8" s="337">
        <f t="shared" ref="X8:X14" si="5">G8</f>
        <v>1351</v>
      </c>
      <c r="Y8" s="338">
        <f>X8*R8</f>
        <v>1215.9000000000001</v>
      </c>
      <c r="Z8" s="337">
        <f>C8</f>
        <v>1348</v>
      </c>
      <c r="AA8" s="339">
        <f t="shared" ref="AA8:AA16" si="6">IFERROR(Z8/Y8,0)</f>
        <v>1.1086438029443211</v>
      </c>
      <c r="AB8" s="414">
        <f t="shared" ref="AB8:AB14" si="7">(Y8-Z8)*-1</f>
        <v>132.09999999999991</v>
      </c>
    </row>
    <row r="9" spans="1:28" s="9" customFormat="1" ht="39.950000000000003" customHeight="1" x14ac:dyDescent="0.3">
      <c r="A9" s="144"/>
      <c r="B9" s="222" t="s">
        <v>119</v>
      </c>
      <c r="C9" s="245">
        <f>SUM('[44]ADU-ex-mar'!$H$75:$AI$78)</f>
        <v>1390</v>
      </c>
      <c r="D9" s="245"/>
      <c r="E9" s="245"/>
      <c r="F9" s="245"/>
      <c r="G9" s="254">
        <f>N9</f>
        <v>1664</v>
      </c>
      <c r="H9" s="251">
        <f t="shared" ref="H9:H14" si="8">IF(G9=0,0,IF(G9&lt;=C9,1,+C9/G9))</f>
        <v>0.83533653846153844</v>
      </c>
      <c r="I9" s="251">
        <f>'RESUMEN INDICADORES'!$F$8</f>
        <v>0.9</v>
      </c>
      <c r="J9" s="202">
        <f t="shared" si="0"/>
        <v>0.92815170940170932</v>
      </c>
      <c r="K9" s="203">
        <f t="shared" si="1"/>
        <v>5.8009481837606831</v>
      </c>
      <c r="N9" s="254">
        <f>SUM('[44]ADU-ex-mar'!$E$28)</f>
        <v>1664</v>
      </c>
      <c r="O9" s="254"/>
      <c r="P9" s="254"/>
      <c r="R9" s="405">
        <f t="shared" si="2"/>
        <v>0.9</v>
      </c>
      <c r="S9" s="405">
        <f t="shared" ref="S9:S14" si="9">W9/U9</f>
        <v>0.83533653846153844</v>
      </c>
      <c r="T9" s="405">
        <f t="shared" ref="T9:T14" si="10">S9/R9</f>
        <v>0.92815170940170932</v>
      </c>
      <c r="U9" s="337">
        <f t="shared" si="3"/>
        <v>1664</v>
      </c>
      <c r="V9" s="338">
        <f t="shared" ref="V9:V14" si="11">U9*R9</f>
        <v>1497.6000000000001</v>
      </c>
      <c r="W9" s="337">
        <f t="shared" si="4"/>
        <v>1390</v>
      </c>
      <c r="X9" s="337">
        <f t="shared" si="5"/>
        <v>1664</v>
      </c>
      <c r="Y9" s="338">
        <f t="shared" ref="Y9:Y16" si="12">X9*R9</f>
        <v>1497.6000000000001</v>
      </c>
      <c r="Z9" s="337">
        <f t="shared" ref="Z9:Z16" si="13">C9</f>
        <v>1390</v>
      </c>
      <c r="AA9" s="339">
        <f t="shared" si="6"/>
        <v>0.92815170940170932</v>
      </c>
      <c r="AB9" s="414">
        <f t="shared" si="7"/>
        <v>-107.60000000000014</v>
      </c>
    </row>
    <row r="10" spans="1:28" s="9" customFormat="1" ht="39.950000000000003" customHeight="1" x14ac:dyDescent="0.3">
      <c r="A10" s="144"/>
      <c r="B10" s="222" t="s">
        <v>120</v>
      </c>
      <c r="C10" s="245">
        <f>SUM('[45]ADU-ex-mar'!$H$75:$AI$78)</f>
        <v>1163</v>
      </c>
      <c r="D10" s="245"/>
      <c r="E10" s="245"/>
      <c r="F10" s="245"/>
      <c r="G10" s="254">
        <f t="shared" ref="G10:G14" si="14">N10</f>
        <v>1182</v>
      </c>
      <c r="H10" s="251">
        <f t="shared" si="8"/>
        <v>0.9839255499153976</v>
      </c>
      <c r="I10" s="251">
        <f>'RESUMEN INDICADORES'!$F$8</f>
        <v>0.9</v>
      </c>
      <c r="J10" s="202">
        <f t="shared" si="0"/>
        <v>1</v>
      </c>
      <c r="K10" s="203">
        <f t="shared" si="1"/>
        <v>6.25</v>
      </c>
      <c r="N10" s="254">
        <f>SUM('[45]ADU-ex-mar'!$E$28)</f>
        <v>1182</v>
      </c>
      <c r="O10" s="254"/>
      <c r="P10" s="254"/>
      <c r="R10" s="405">
        <f t="shared" si="2"/>
        <v>0.9</v>
      </c>
      <c r="S10" s="405">
        <f t="shared" si="9"/>
        <v>0.9839255499153976</v>
      </c>
      <c r="T10" s="405">
        <f t="shared" si="10"/>
        <v>1.0932506110171085</v>
      </c>
      <c r="U10" s="337">
        <f t="shared" si="3"/>
        <v>1182</v>
      </c>
      <c r="V10" s="338">
        <f t="shared" si="11"/>
        <v>1063.8</v>
      </c>
      <c r="W10" s="337">
        <f t="shared" si="4"/>
        <v>1163</v>
      </c>
      <c r="X10" s="337">
        <f t="shared" si="5"/>
        <v>1182</v>
      </c>
      <c r="Y10" s="338">
        <f t="shared" si="12"/>
        <v>1063.8</v>
      </c>
      <c r="Z10" s="337">
        <f t="shared" si="13"/>
        <v>1163</v>
      </c>
      <c r="AA10" s="339">
        <f t="shared" si="6"/>
        <v>1.0932506110171085</v>
      </c>
      <c r="AB10" s="414">
        <f t="shared" si="7"/>
        <v>99.200000000000045</v>
      </c>
    </row>
    <row r="11" spans="1:28" s="9" customFormat="1" ht="39.950000000000003" customHeight="1" x14ac:dyDescent="0.3">
      <c r="A11" s="144"/>
      <c r="B11" s="222" t="s">
        <v>118</v>
      </c>
      <c r="C11" s="245">
        <f>SUM('[46]ADU-ex-mar'!$H$75:$AI$78)</f>
        <v>2490</v>
      </c>
      <c r="D11" s="245"/>
      <c r="E11" s="245"/>
      <c r="F11" s="245"/>
      <c r="G11" s="254">
        <f t="shared" si="14"/>
        <v>2707</v>
      </c>
      <c r="H11" s="251">
        <f t="shared" si="8"/>
        <v>0.91983745844107867</v>
      </c>
      <c r="I11" s="251">
        <f>'RESUMEN INDICADORES'!$F$8</f>
        <v>0.9</v>
      </c>
      <c r="J11" s="202">
        <f t="shared" si="0"/>
        <v>1</v>
      </c>
      <c r="K11" s="203">
        <f t="shared" si="1"/>
        <v>6.25</v>
      </c>
      <c r="N11" s="254">
        <f>SUM('[46]ADU-ex-mar'!$E$28)</f>
        <v>2707</v>
      </c>
      <c r="O11" s="254"/>
      <c r="P11" s="254"/>
      <c r="R11" s="405">
        <f t="shared" si="2"/>
        <v>0.9</v>
      </c>
      <c r="S11" s="405">
        <f t="shared" si="9"/>
        <v>0.91983745844107867</v>
      </c>
      <c r="T11" s="405">
        <f t="shared" si="10"/>
        <v>1.0220416204900873</v>
      </c>
      <c r="U11" s="337">
        <f t="shared" si="3"/>
        <v>2707</v>
      </c>
      <c r="V11" s="338">
        <f t="shared" si="11"/>
        <v>2436.3000000000002</v>
      </c>
      <c r="W11" s="337">
        <f t="shared" si="4"/>
        <v>2490</v>
      </c>
      <c r="X11" s="337">
        <f t="shared" si="5"/>
        <v>2707</v>
      </c>
      <c r="Y11" s="338">
        <f t="shared" si="12"/>
        <v>2436.3000000000002</v>
      </c>
      <c r="Z11" s="337">
        <f t="shared" si="13"/>
        <v>2490</v>
      </c>
      <c r="AA11" s="339">
        <f t="shared" si="6"/>
        <v>1.0220416204900873</v>
      </c>
      <c r="AB11" s="414">
        <f t="shared" si="7"/>
        <v>53.699999999999818</v>
      </c>
    </row>
    <row r="12" spans="1:28" s="9" customFormat="1" ht="39.950000000000003" customHeight="1" x14ac:dyDescent="0.3">
      <c r="A12" s="144"/>
      <c r="B12" s="222" t="s">
        <v>122</v>
      </c>
      <c r="C12" s="245">
        <f>SUM('[47]ADU-ex-mar'!$H$75:$AI$78)</f>
        <v>570</v>
      </c>
      <c r="D12" s="245"/>
      <c r="E12" s="245"/>
      <c r="F12" s="245"/>
      <c r="G12" s="254">
        <f t="shared" si="14"/>
        <v>772</v>
      </c>
      <c r="H12" s="251">
        <f t="shared" si="8"/>
        <v>0.73834196891191706</v>
      </c>
      <c r="I12" s="251">
        <f>'RESUMEN INDICADORES'!$F$8</f>
        <v>0.9</v>
      </c>
      <c r="J12" s="202">
        <f t="shared" si="0"/>
        <v>0.82037996545768554</v>
      </c>
      <c r="K12" s="203">
        <f t="shared" si="1"/>
        <v>5.1273747841105344</v>
      </c>
      <c r="N12" s="254">
        <f>SUM('[47]ADU-ex-mar'!$E$28)</f>
        <v>772</v>
      </c>
      <c r="O12" s="254"/>
      <c r="P12" s="254"/>
      <c r="R12" s="405">
        <f t="shared" si="2"/>
        <v>0.9</v>
      </c>
      <c r="S12" s="405">
        <f t="shared" si="9"/>
        <v>0.73834196891191706</v>
      </c>
      <c r="T12" s="405">
        <f t="shared" si="10"/>
        <v>0.82037996545768554</v>
      </c>
      <c r="U12" s="337">
        <f t="shared" si="3"/>
        <v>772</v>
      </c>
      <c r="V12" s="338">
        <f t="shared" si="11"/>
        <v>694.80000000000007</v>
      </c>
      <c r="W12" s="337">
        <f t="shared" si="4"/>
        <v>570</v>
      </c>
      <c r="X12" s="337">
        <f t="shared" si="5"/>
        <v>772</v>
      </c>
      <c r="Y12" s="338">
        <f t="shared" si="12"/>
        <v>694.80000000000007</v>
      </c>
      <c r="Z12" s="337">
        <f t="shared" si="13"/>
        <v>570</v>
      </c>
      <c r="AA12" s="339">
        <f t="shared" si="6"/>
        <v>0.82037996545768554</v>
      </c>
      <c r="AB12" s="414">
        <f t="shared" si="7"/>
        <v>-124.80000000000007</v>
      </c>
    </row>
    <row r="13" spans="1:28" s="9" customFormat="1" ht="39.950000000000003" customHeight="1" x14ac:dyDescent="0.3">
      <c r="A13" s="144"/>
      <c r="B13" s="222" t="s">
        <v>123</v>
      </c>
      <c r="C13" s="245">
        <f>SUM('[48]ADU-ex-mar'!$H$75:$AI$78)</f>
        <v>339</v>
      </c>
      <c r="D13" s="245"/>
      <c r="E13" s="245"/>
      <c r="F13" s="245"/>
      <c r="G13" s="254">
        <f t="shared" si="14"/>
        <v>414</v>
      </c>
      <c r="H13" s="251">
        <f t="shared" si="8"/>
        <v>0.8188405797101449</v>
      </c>
      <c r="I13" s="251">
        <f>'RESUMEN INDICADORES'!$F$8</f>
        <v>0.9</v>
      </c>
      <c r="J13" s="202">
        <f t="shared" si="0"/>
        <v>0.90982286634460541</v>
      </c>
      <c r="K13" s="203">
        <f t="shared" si="1"/>
        <v>5.6863929146537835</v>
      </c>
      <c r="N13" s="254">
        <f>SUM('[48]ADU-ex-mar'!$E$28)</f>
        <v>414</v>
      </c>
      <c r="O13" s="254"/>
      <c r="P13" s="254"/>
      <c r="R13" s="405">
        <f t="shared" si="2"/>
        <v>0.9</v>
      </c>
      <c r="S13" s="405">
        <f t="shared" si="9"/>
        <v>0.8188405797101449</v>
      </c>
      <c r="T13" s="405">
        <f t="shared" si="10"/>
        <v>0.90982286634460541</v>
      </c>
      <c r="U13" s="337">
        <f t="shared" si="3"/>
        <v>414</v>
      </c>
      <c r="V13" s="338">
        <f t="shared" si="11"/>
        <v>372.6</v>
      </c>
      <c r="W13" s="337">
        <f t="shared" si="4"/>
        <v>339</v>
      </c>
      <c r="X13" s="337">
        <f t="shared" si="5"/>
        <v>414</v>
      </c>
      <c r="Y13" s="338">
        <f t="shared" si="12"/>
        <v>372.6</v>
      </c>
      <c r="Z13" s="337">
        <f t="shared" si="13"/>
        <v>339</v>
      </c>
      <c r="AA13" s="339">
        <f t="shared" si="6"/>
        <v>0.90982286634460541</v>
      </c>
      <c r="AB13" s="414">
        <f t="shared" si="7"/>
        <v>-33.600000000000023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6">
        <f>SUM('[49]ADU-ex-mar'!$H$75:$AI$78)</f>
        <v>47</v>
      </c>
      <c r="D14" s="246"/>
      <c r="E14" s="246"/>
      <c r="F14" s="246"/>
      <c r="G14" s="255">
        <f t="shared" si="14"/>
        <v>47</v>
      </c>
      <c r="H14" s="252">
        <f t="shared" si="8"/>
        <v>1</v>
      </c>
      <c r="I14" s="252">
        <f>'RESUMEN INDICADORES'!$F$8</f>
        <v>0.9</v>
      </c>
      <c r="J14" s="205">
        <f t="shared" si="0"/>
        <v>1</v>
      </c>
      <c r="K14" s="206">
        <f t="shared" si="1"/>
        <v>6.25</v>
      </c>
      <c r="N14" s="255">
        <f>SUM('[49]ADU-ex-mar'!$E$28)</f>
        <v>47</v>
      </c>
      <c r="O14" s="255"/>
      <c r="P14" s="255"/>
      <c r="R14" s="405">
        <f t="shared" si="2"/>
        <v>0.9</v>
      </c>
      <c r="S14" s="405">
        <f t="shared" si="9"/>
        <v>1</v>
      </c>
      <c r="T14" s="405">
        <f t="shared" si="10"/>
        <v>1.1111111111111112</v>
      </c>
      <c r="U14" s="337">
        <f t="shared" si="3"/>
        <v>47</v>
      </c>
      <c r="V14" s="338">
        <f t="shared" si="11"/>
        <v>42.300000000000004</v>
      </c>
      <c r="W14" s="337">
        <f t="shared" si="4"/>
        <v>47</v>
      </c>
      <c r="X14" s="337">
        <f t="shared" si="5"/>
        <v>47</v>
      </c>
      <c r="Y14" s="338">
        <f t="shared" si="12"/>
        <v>42.300000000000004</v>
      </c>
      <c r="Z14" s="337">
        <f t="shared" si="13"/>
        <v>47</v>
      </c>
      <c r="AA14" s="339">
        <f t="shared" si="6"/>
        <v>1.1111111111111109</v>
      </c>
      <c r="AB14" s="414">
        <f t="shared" si="7"/>
        <v>4.6999999999999957</v>
      </c>
    </row>
    <row r="15" spans="1:28" s="9" customFormat="1" ht="18.75" customHeight="1" thickBot="1" x14ac:dyDescent="0.3">
      <c r="AB15" s="340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 t="shared" ref="D16:F16" si="15">SUM(D8:D14)</f>
        <v>0</v>
      </c>
      <c r="E16" s="220">
        <f t="shared" si="15"/>
        <v>0</v>
      </c>
      <c r="F16" s="220">
        <f t="shared" si="15"/>
        <v>0</v>
      </c>
      <c r="G16" s="130">
        <f>SUM(G8:G14)</f>
        <v>8137</v>
      </c>
      <c r="H16" s="59">
        <f>IF(G16=0,0,IF(G16&lt;=C16,1,+C16/G16))</f>
        <v>0.90291262135922334</v>
      </c>
      <c r="I16" s="54">
        <v>0.9</v>
      </c>
      <c r="J16" s="19">
        <f t="shared" ref="J16" si="16">IF(H16&gt;=I16,1,+H16/I16)</f>
        <v>1</v>
      </c>
      <c r="K16" s="55">
        <f t="shared" ref="K16" si="17">IF(H16&gt;=I16,6.25,((H16/I16)*6.25))</f>
        <v>6.25</v>
      </c>
      <c r="N16" s="174">
        <f>SUM(N8:N14)</f>
        <v>8137</v>
      </c>
      <c r="O16" s="174">
        <f>SUM(O8:O14)</f>
        <v>0</v>
      </c>
      <c r="P16" s="220">
        <f>SUM(P8:P14)</f>
        <v>0</v>
      </c>
      <c r="R16" s="405">
        <f>I16</f>
        <v>0.9</v>
      </c>
      <c r="S16" s="405">
        <f t="shared" ref="S16" si="18">W16/U16</f>
        <v>0.90291262135922334</v>
      </c>
      <c r="T16" s="405">
        <f t="shared" ref="T16" si="19">S16/R16</f>
        <v>1.0032362459546926</v>
      </c>
      <c r="U16" s="337">
        <f>G16</f>
        <v>8137</v>
      </c>
      <c r="V16" s="338">
        <f t="shared" ref="V16" si="20">U16*R16</f>
        <v>7323.3</v>
      </c>
      <c r="W16" s="337">
        <f>C16</f>
        <v>7347</v>
      </c>
      <c r="X16" s="337">
        <f>G16</f>
        <v>8137</v>
      </c>
      <c r="Y16" s="338">
        <f t="shared" si="12"/>
        <v>7323.3</v>
      </c>
      <c r="Z16" s="337">
        <f t="shared" si="13"/>
        <v>7347</v>
      </c>
      <c r="AA16" s="339">
        <f t="shared" si="6"/>
        <v>1.0032362459546926</v>
      </c>
      <c r="AB16" s="384">
        <f t="shared" ref="AB16" si="21">(Y16-Z16)*-1</f>
        <v>23.699999999999818</v>
      </c>
    </row>
    <row r="17" spans="2:11" s="9" customFormat="1" ht="39.75" customHeight="1" x14ac:dyDescent="0.25"/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AT8" sqref="AT8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492" t="s">
        <v>23</v>
      </c>
      <c r="C1" s="492"/>
      <c r="D1" s="492"/>
      <c r="E1" s="492"/>
      <c r="F1" s="492"/>
      <c r="G1" s="492"/>
      <c r="H1" s="492"/>
      <c r="I1" s="492"/>
      <c r="J1" s="492"/>
      <c r="K1" s="492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3" t="s">
        <v>169</v>
      </c>
      <c r="AQ1" s="327">
        <v>12</v>
      </c>
      <c r="AR1" s="61"/>
      <c r="AS1" s="61"/>
      <c r="AT1" s="61"/>
    </row>
    <row r="2" spans="1:46" ht="38.25" customHeight="1" thickBot="1" x14ac:dyDescent="0.55000000000000004">
      <c r="B2" s="450" t="s">
        <v>353</v>
      </c>
      <c r="C2" s="451"/>
      <c r="D2" s="451"/>
      <c r="E2" s="451"/>
      <c r="F2" s="451"/>
      <c r="G2" s="451"/>
      <c r="H2" s="451"/>
      <c r="I2" s="451"/>
      <c r="J2" s="451"/>
      <c r="K2" s="452"/>
      <c r="P2" s="60"/>
      <c r="Q2" s="60"/>
      <c r="R2" s="60"/>
      <c r="S2" s="60"/>
      <c r="T2" s="60"/>
      <c r="U2" s="60"/>
      <c r="V2" s="60"/>
      <c r="W2" s="60"/>
      <c r="AJ2" s="325"/>
      <c r="AK2" s="325"/>
      <c r="AL2" s="325"/>
      <c r="AM2" s="326"/>
      <c r="AN2" s="325"/>
      <c r="AO2" s="325"/>
      <c r="AP2" s="333" t="s">
        <v>170</v>
      </c>
      <c r="AQ2" s="327">
        <v>3</v>
      </c>
      <c r="AR2" s="328"/>
      <c r="AS2" s="328"/>
      <c r="AT2" s="325"/>
    </row>
    <row r="3" spans="1:46" ht="38.25" customHeight="1" thickBot="1" x14ac:dyDescent="0.55000000000000004">
      <c r="B3" s="115"/>
      <c r="C3" s="451" t="s">
        <v>316</v>
      </c>
      <c r="D3" s="451"/>
      <c r="E3" s="451"/>
      <c r="F3" s="451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445" t="s">
        <v>171</v>
      </c>
      <c r="AK3" s="445" t="s">
        <v>172</v>
      </c>
      <c r="AL3" s="445" t="s">
        <v>173</v>
      </c>
      <c r="AM3" s="445" t="s">
        <v>174</v>
      </c>
      <c r="AN3" s="445" t="s">
        <v>175</v>
      </c>
      <c r="AO3" s="445" t="s">
        <v>176</v>
      </c>
      <c r="AP3" s="445" t="s">
        <v>206</v>
      </c>
      <c r="AQ3" s="445" t="s">
        <v>205</v>
      </c>
      <c r="AR3" s="445" t="s">
        <v>177</v>
      </c>
      <c r="AS3" s="445" t="s">
        <v>178</v>
      </c>
      <c r="AT3" s="445" t="s">
        <v>179</v>
      </c>
    </row>
    <row r="4" spans="1:46" ht="18.75" customHeight="1" thickBot="1" x14ac:dyDescent="0.35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26" t="s">
        <v>18</v>
      </c>
      <c r="H4" s="514" t="s">
        <v>11</v>
      </c>
      <c r="I4" s="553"/>
      <c r="J4" s="553"/>
      <c r="K4" s="472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</row>
    <row r="5" spans="1:46" ht="63.75" customHeight="1" thickBot="1" x14ac:dyDescent="0.35">
      <c r="A5" s="485"/>
      <c r="B5" s="485"/>
      <c r="C5" s="557" t="s">
        <v>47</v>
      </c>
      <c r="D5" s="558"/>
      <c r="E5" s="558"/>
      <c r="F5" s="559"/>
      <c r="G5" s="543" t="s">
        <v>48</v>
      </c>
      <c r="H5" s="554"/>
      <c r="I5" s="555"/>
      <c r="J5" s="555"/>
      <c r="K5" s="556"/>
      <c r="AJ5" s="546" t="s">
        <v>180</v>
      </c>
      <c r="AK5" s="546" t="s">
        <v>181</v>
      </c>
      <c r="AL5" s="546" t="s">
        <v>182</v>
      </c>
      <c r="AM5" s="547" t="s">
        <v>183</v>
      </c>
      <c r="AN5" s="547" t="s">
        <v>184</v>
      </c>
      <c r="AO5" s="547" t="s">
        <v>185</v>
      </c>
      <c r="AP5" s="547" t="s">
        <v>204</v>
      </c>
      <c r="AQ5" s="547" t="s">
        <v>187</v>
      </c>
      <c r="AR5" s="547" t="s">
        <v>188</v>
      </c>
      <c r="AS5" s="548" t="s">
        <v>189</v>
      </c>
      <c r="AT5" s="549" t="s">
        <v>190</v>
      </c>
    </row>
    <row r="6" spans="1:46" ht="18.75" customHeight="1" thickBot="1" x14ac:dyDescent="0.4">
      <c r="A6" s="485"/>
      <c r="B6" s="485"/>
      <c r="C6" s="501" t="s">
        <v>26</v>
      </c>
      <c r="D6" s="502"/>
      <c r="E6" s="502"/>
      <c r="F6" s="503"/>
      <c r="G6" s="536"/>
      <c r="H6" s="560" t="s">
        <v>35</v>
      </c>
      <c r="I6" s="562" t="s">
        <v>13</v>
      </c>
      <c r="J6" s="564" t="s">
        <v>37</v>
      </c>
      <c r="K6" s="565" t="s">
        <v>49</v>
      </c>
      <c r="P6" s="550" t="s">
        <v>50</v>
      </c>
      <c r="Q6" s="551"/>
      <c r="R6" s="551"/>
      <c r="S6" s="551"/>
      <c r="T6" s="551"/>
      <c r="U6" s="551"/>
      <c r="V6" s="552"/>
      <c r="W6" s="62"/>
      <c r="AJ6" s="546"/>
      <c r="AK6" s="546"/>
      <c r="AL6" s="546"/>
      <c r="AM6" s="547"/>
      <c r="AN6" s="547"/>
      <c r="AO6" s="547"/>
      <c r="AP6" s="547"/>
      <c r="AQ6" s="547"/>
      <c r="AR6" s="547"/>
      <c r="AS6" s="548"/>
      <c r="AT6" s="549"/>
    </row>
    <row r="7" spans="1:46" s="9" customFormat="1" ht="18" thickBot="1" x14ac:dyDescent="0.35">
      <c r="A7" s="485"/>
      <c r="B7" s="485"/>
      <c r="C7" s="145" t="s">
        <v>51</v>
      </c>
      <c r="D7" s="145" t="s">
        <v>52</v>
      </c>
      <c r="E7" s="145" t="s">
        <v>53</v>
      </c>
      <c r="F7" s="145" t="s">
        <v>54</v>
      </c>
      <c r="G7" s="536"/>
      <c r="H7" s="561"/>
      <c r="I7" s="563"/>
      <c r="J7" s="556"/>
      <c r="K7" s="566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4" t="s">
        <v>191</v>
      </c>
      <c r="AK7" s="334" t="s">
        <v>192</v>
      </c>
      <c r="AL7" s="334" t="s">
        <v>193</v>
      </c>
      <c r="AM7" s="334" t="s">
        <v>194</v>
      </c>
      <c r="AN7" s="334" t="s">
        <v>195</v>
      </c>
      <c r="AO7" s="334" t="s">
        <v>196</v>
      </c>
      <c r="AP7" s="334" t="s">
        <v>197</v>
      </c>
      <c r="AQ7" s="334" t="s">
        <v>198</v>
      </c>
      <c r="AR7" s="334" t="s">
        <v>199</v>
      </c>
      <c r="AS7" s="334" t="s">
        <v>200</v>
      </c>
      <c r="AT7" s="341" t="s">
        <v>201</v>
      </c>
    </row>
    <row r="8" spans="1:46" s="9" customFormat="1" ht="39.950000000000003" customHeight="1" x14ac:dyDescent="0.3">
      <c r="A8" s="144"/>
      <c r="B8" s="221" t="s">
        <v>121</v>
      </c>
      <c r="C8" s="247">
        <f>SUM('[43]ADU-ex-mar'!$H$16:$AI$16,'[43]ADU-ex-mar'!$AH$17:$AI$17)</f>
        <v>2295</v>
      </c>
      <c r="D8" s="247"/>
      <c r="E8" s="247"/>
      <c r="F8" s="247"/>
      <c r="G8" s="241">
        <f>Poblac!Q5</f>
        <v>4706.6478352000004</v>
      </c>
      <c r="H8" s="237">
        <f>IF(G8=0,0,IF(G8&lt;=C8,1,+C8/G8))</f>
        <v>0.4876081832246279</v>
      </c>
      <c r="I8" s="237">
        <f>'RESUMEN INDICADORES'!$F$9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405">
        <f>I8</f>
        <v>0.40500000000000003</v>
      </c>
      <c r="AK8" s="405">
        <f>AO8/AM8</f>
        <v>0.4876081832246279</v>
      </c>
      <c r="AL8" s="405">
        <f>AK8/AJ8</f>
        <v>1.2039708227768589</v>
      </c>
      <c r="AM8" s="337">
        <f>G8</f>
        <v>4706.6478352000004</v>
      </c>
      <c r="AN8" s="338">
        <f>AM8*AJ8</f>
        <v>1906.1923732560003</v>
      </c>
      <c r="AO8" s="337">
        <f>C8</f>
        <v>2295</v>
      </c>
      <c r="AP8" s="337">
        <f>G8</f>
        <v>4706.6478352000004</v>
      </c>
      <c r="AQ8" s="337">
        <f>AP8*AJ8</f>
        <v>1906.1923732560003</v>
      </c>
      <c r="AR8" s="337">
        <f>C8</f>
        <v>2295</v>
      </c>
      <c r="AS8" s="339">
        <f t="shared" ref="AS8:AS16" si="2">IFERROR(AR8/AQ8,0)</f>
        <v>1.2039708227768589</v>
      </c>
      <c r="AT8" s="414">
        <f t="shared" ref="AT8:AT14" si="3">(AQ8-AR8)*-1</f>
        <v>388.80762674399966</v>
      </c>
    </row>
    <row r="9" spans="1:46" s="9" customFormat="1" ht="39.950000000000003" customHeight="1" x14ac:dyDescent="0.3">
      <c r="A9" s="144"/>
      <c r="B9" s="222" t="s">
        <v>119</v>
      </c>
      <c r="C9" s="248">
        <f>SUM('[44]ADU-ex-mar'!$H$16:$AI$16,'[44]ADU-ex-mar'!$AH$17:$AI$17)</f>
        <v>2612</v>
      </c>
      <c r="D9" s="248"/>
      <c r="E9" s="248"/>
      <c r="F9" s="248"/>
      <c r="G9" s="242">
        <f>Poblac!Q6</f>
        <v>6659.8810000000003</v>
      </c>
      <c r="H9" s="398">
        <f t="shared" ref="H9:H14" si="4">IF(G9=0,0,IF(G9&lt;=C9,1,+C9/G9))</f>
        <v>0.39219919995567487</v>
      </c>
      <c r="I9" s="398">
        <f>'RESUMEN INDICADORES'!$F$9</f>
        <v>0.40500000000000003</v>
      </c>
      <c r="J9" s="202">
        <f t="shared" ref="J9:J10" si="5">IF(H9&gt;=I9,1,+H9/I9)</f>
        <v>0.96839308631030829</v>
      </c>
      <c r="K9" s="203">
        <f t="shared" ref="K9:K10" si="6">IF(H9&gt;=I9,12.5,((H9/I9)*12.5))</f>
        <v>12.104913578878854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405">
        <f t="shared" ref="AJ9:AJ16" si="7">I9</f>
        <v>0.40500000000000003</v>
      </c>
      <c r="AK9" s="405">
        <f t="shared" ref="AK9:AK14" si="8">AO9/AM9</f>
        <v>0.39219919995567487</v>
      </c>
      <c r="AL9" s="405">
        <f t="shared" ref="AL9:AL14" si="9">AK9/AJ9</f>
        <v>0.96839308631030829</v>
      </c>
      <c r="AM9" s="337">
        <f t="shared" ref="AM9:AM13" si="10">G9</f>
        <v>6659.8810000000003</v>
      </c>
      <c r="AN9" s="338">
        <f t="shared" ref="AN9:AN14" si="11">AM9*AJ9</f>
        <v>2697.2518050000003</v>
      </c>
      <c r="AO9" s="337">
        <f t="shared" ref="AO9:AO16" si="12">C9</f>
        <v>2612</v>
      </c>
      <c r="AP9" s="337">
        <f t="shared" ref="AP9:AP16" si="13">G9</f>
        <v>6659.8810000000003</v>
      </c>
      <c r="AQ9" s="337">
        <f t="shared" ref="AQ9:AQ16" si="14">AP9*AJ9</f>
        <v>2697.2518050000003</v>
      </c>
      <c r="AR9" s="337">
        <f t="shared" ref="AR9:AR16" si="15">C9</f>
        <v>2612</v>
      </c>
      <c r="AS9" s="339">
        <f t="shared" si="2"/>
        <v>0.96839308631030818</v>
      </c>
      <c r="AT9" s="414">
        <f t="shared" si="3"/>
        <v>-85.251805000000331</v>
      </c>
    </row>
    <row r="10" spans="1:46" s="9" customFormat="1" ht="39.950000000000003" customHeight="1" x14ac:dyDescent="0.3">
      <c r="A10" s="144"/>
      <c r="B10" s="222" t="s">
        <v>120</v>
      </c>
      <c r="C10" s="248">
        <f>SUM('[45]ADU-ex-mar'!$H$16:$AI$16,'[45]ADU-ex-mar'!$AH$17:$AI$17)</f>
        <v>1992</v>
      </c>
      <c r="D10" s="248"/>
      <c r="E10" s="248"/>
      <c r="F10" s="248"/>
      <c r="G10" s="242">
        <f>Poblac!Q7</f>
        <v>4594.9390000000003</v>
      </c>
      <c r="H10" s="398">
        <f t="shared" si="4"/>
        <v>0.43352044499393788</v>
      </c>
      <c r="I10" s="398">
        <f>'RESUMEN INDICADORES'!$F$9</f>
        <v>0.40500000000000003</v>
      </c>
      <c r="J10" s="202">
        <f t="shared" si="5"/>
        <v>1</v>
      </c>
      <c r="K10" s="203">
        <f t="shared" si="6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405">
        <f t="shared" si="7"/>
        <v>0.40500000000000003</v>
      </c>
      <c r="AK10" s="405">
        <f t="shared" si="8"/>
        <v>0.43352044499393788</v>
      </c>
      <c r="AL10" s="405">
        <f t="shared" si="9"/>
        <v>1.0704208518368836</v>
      </c>
      <c r="AM10" s="337">
        <f t="shared" si="10"/>
        <v>4594.9390000000003</v>
      </c>
      <c r="AN10" s="338">
        <f t="shared" si="11"/>
        <v>1860.9502950000003</v>
      </c>
      <c r="AO10" s="337">
        <f t="shared" si="12"/>
        <v>1992</v>
      </c>
      <c r="AP10" s="337">
        <f t="shared" si="13"/>
        <v>4594.9390000000003</v>
      </c>
      <c r="AQ10" s="337">
        <f t="shared" si="14"/>
        <v>1860.9502950000003</v>
      </c>
      <c r="AR10" s="337">
        <f t="shared" si="15"/>
        <v>1992</v>
      </c>
      <c r="AS10" s="339">
        <f t="shared" si="2"/>
        <v>1.0704208518368834</v>
      </c>
      <c r="AT10" s="414">
        <f t="shared" si="3"/>
        <v>131.04970499999968</v>
      </c>
    </row>
    <row r="11" spans="1:46" s="9" customFormat="1" ht="39.950000000000003" customHeight="1" x14ac:dyDescent="0.3">
      <c r="A11" s="144"/>
      <c r="B11" s="222" t="s">
        <v>118</v>
      </c>
      <c r="C11" s="248">
        <f>SUM('[46]ADU-ex-mar'!$H$16:$AI$16,'[46]ADU-ex-mar'!$AH$17:$AI$17)</f>
        <v>4164</v>
      </c>
      <c r="D11" s="248"/>
      <c r="E11" s="248"/>
      <c r="F11" s="248"/>
      <c r="G11" s="242">
        <f>Poblac!Q8</f>
        <v>12679.901157</v>
      </c>
      <c r="H11" s="398">
        <f t="shared" si="4"/>
        <v>0.32839372708368819</v>
      </c>
      <c r="I11" s="398">
        <f>'RESUMEN INDICADORES'!$F$9</f>
        <v>0.40500000000000003</v>
      </c>
      <c r="J11" s="202">
        <f t="shared" ref="J11:J14" si="16">IF(H11&gt;=I11,1,+H11/I11)</f>
        <v>0.81084870884861282</v>
      </c>
      <c r="K11" s="203">
        <f t="shared" ref="K11:K14" si="17">IF(H11&gt;=I11,12.5,((H11/I11)*12.5))</f>
        <v>10.135608860607661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405">
        <f t="shared" si="7"/>
        <v>0.40500000000000003</v>
      </c>
      <c r="AK11" s="405">
        <f t="shared" si="8"/>
        <v>0.32839372708368819</v>
      </c>
      <c r="AL11" s="405">
        <f t="shared" si="9"/>
        <v>0.81084870884861282</v>
      </c>
      <c r="AM11" s="337">
        <f t="shared" si="10"/>
        <v>12679.901157</v>
      </c>
      <c r="AN11" s="338">
        <f t="shared" si="11"/>
        <v>5135.3599685850004</v>
      </c>
      <c r="AO11" s="337">
        <f t="shared" si="12"/>
        <v>4164</v>
      </c>
      <c r="AP11" s="337">
        <f t="shared" si="13"/>
        <v>12679.901157</v>
      </c>
      <c r="AQ11" s="337">
        <f t="shared" si="14"/>
        <v>5135.3599685850004</v>
      </c>
      <c r="AR11" s="337">
        <f t="shared" si="15"/>
        <v>4164</v>
      </c>
      <c r="AS11" s="339">
        <f t="shared" si="2"/>
        <v>0.81084870884861271</v>
      </c>
      <c r="AT11" s="414">
        <f t="shared" si="3"/>
        <v>-971.35996858500039</v>
      </c>
    </row>
    <row r="12" spans="1:46" s="9" customFormat="1" ht="39.950000000000003" customHeight="1" x14ac:dyDescent="0.3">
      <c r="A12" s="144"/>
      <c r="B12" s="222" t="s">
        <v>122</v>
      </c>
      <c r="C12" s="248">
        <f>SUM('[47]ADU-ex-mar'!$H$16:$AI$16,'[47]ADU-ex-mar'!$AH$17:$AI$17)</f>
        <v>1211</v>
      </c>
      <c r="D12" s="248"/>
      <c r="E12" s="248"/>
      <c r="F12" s="248"/>
      <c r="G12" s="242">
        <f>Poblac!Q9</f>
        <v>4539.5740000000005</v>
      </c>
      <c r="H12" s="398">
        <f t="shared" si="4"/>
        <v>0.26676511937023162</v>
      </c>
      <c r="I12" s="398">
        <f>'RESUMEN INDICADORES'!$F$9</f>
        <v>0.40500000000000003</v>
      </c>
      <c r="J12" s="202">
        <f t="shared" si="16"/>
        <v>0.65867930708699163</v>
      </c>
      <c r="K12" s="203">
        <f t="shared" si="17"/>
        <v>8.2334913385873953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405">
        <f t="shared" si="7"/>
        <v>0.40500000000000003</v>
      </c>
      <c r="AK12" s="405">
        <f t="shared" si="8"/>
        <v>0.26676511937023162</v>
      </c>
      <c r="AL12" s="405">
        <f t="shared" si="9"/>
        <v>0.65867930708699163</v>
      </c>
      <c r="AM12" s="337">
        <f t="shared" si="10"/>
        <v>4539.5740000000005</v>
      </c>
      <c r="AN12" s="338">
        <f t="shared" si="11"/>
        <v>1838.5274700000002</v>
      </c>
      <c r="AO12" s="337">
        <f t="shared" si="12"/>
        <v>1211</v>
      </c>
      <c r="AP12" s="337">
        <f t="shared" si="13"/>
        <v>4539.5740000000005</v>
      </c>
      <c r="AQ12" s="337">
        <f t="shared" si="14"/>
        <v>1838.5274700000002</v>
      </c>
      <c r="AR12" s="337">
        <f t="shared" si="15"/>
        <v>1211</v>
      </c>
      <c r="AS12" s="339">
        <f t="shared" si="2"/>
        <v>0.65867930708699163</v>
      </c>
      <c r="AT12" s="414">
        <f t="shared" si="3"/>
        <v>-627.52747000000022</v>
      </c>
    </row>
    <row r="13" spans="1:46" s="9" customFormat="1" ht="39.950000000000003" customHeight="1" x14ac:dyDescent="0.3">
      <c r="A13" s="144"/>
      <c r="B13" s="222" t="s">
        <v>123</v>
      </c>
      <c r="C13" s="248">
        <f>SUM('[48]ADU-ex-mar'!$H$16:$AI$16,'[48]ADU-ex-mar'!$AH$17:$AI$17)</f>
        <v>473</v>
      </c>
      <c r="D13" s="248"/>
      <c r="E13" s="248"/>
      <c r="F13" s="248"/>
      <c r="G13" s="242">
        <f>Poblac!Q10</f>
        <v>1242.0981648000002</v>
      </c>
      <c r="H13" s="398">
        <f t="shared" si="4"/>
        <v>0.38080726097535245</v>
      </c>
      <c r="I13" s="398">
        <f>'RESUMEN INDICADORES'!$F$9</f>
        <v>0.40500000000000003</v>
      </c>
      <c r="J13" s="202">
        <f t="shared" si="16"/>
        <v>0.94026484191445048</v>
      </c>
      <c r="K13" s="203">
        <f t="shared" si="17"/>
        <v>11.753310523930631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405">
        <f t="shared" si="7"/>
        <v>0.40500000000000003</v>
      </c>
      <c r="AK13" s="405">
        <f t="shared" si="8"/>
        <v>0.38080726097535245</v>
      </c>
      <c r="AL13" s="405">
        <f t="shared" si="9"/>
        <v>0.94026484191445048</v>
      </c>
      <c r="AM13" s="337">
        <f t="shared" si="10"/>
        <v>1242.0981648000002</v>
      </c>
      <c r="AN13" s="338">
        <f t="shared" si="11"/>
        <v>503.04975674400009</v>
      </c>
      <c r="AO13" s="337">
        <f t="shared" si="12"/>
        <v>473</v>
      </c>
      <c r="AP13" s="337">
        <f t="shared" si="13"/>
        <v>1242.0981648000002</v>
      </c>
      <c r="AQ13" s="337">
        <f t="shared" si="14"/>
        <v>503.04975674400009</v>
      </c>
      <c r="AR13" s="337">
        <f t="shared" si="15"/>
        <v>473</v>
      </c>
      <c r="AS13" s="339">
        <f t="shared" si="2"/>
        <v>0.94026484191445048</v>
      </c>
      <c r="AT13" s="414">
        <f t="shared" si="3"/>
        <v>-30.049756744000092</v>
      </c>
    </row>
    <row r="14" spans="1:46" s="9" customFormat="1" ht="39.950000000000003" customHeight="1" thickBot="1" x14ac:dyDescent="0.35">
      <c r="A14" s="144"/>
      <c r="B14" s="223" t="s">
        <v>124</v>
      </c>
      <c r="C14" s="249">
        <f>SUM('[49]ADU-ex-mar'!$H$16:$AI$16,'[49]ADU-ex-mar'!$AH$17:$AI$17)</f>
        <v>86</v>
      </c>
      <c r="D14" s="249"/>
      <c r="E14" s="249"/>
      <c r="F14" s="249"/>
      <c r="G14" s="243">
        <f>Poblac!Q11</f>
        <v>167.00984299999999</v>
      </c>
      <c r="H14" s="397">
        <f t="shared" si="4"/>
        <v>0.51493970927210564</v>
      </c>
      <c r="I14" s="397">
        <f>'RESUMEN INDICADORES'!$F$9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405">
        <f t="shared" si="7"/>
        <v>0.40500000000000003</v>
      </c>
      <c r="AK14" s="405">
        <f t="shared" si="8"/>
        <v>0.51493970927210564</v>
      </c>
      <c r="AL14" s="405">
        <f t="shared" si="9"/>
        <v>1.271456072276804</v>
      </c>
      <c r="AM14" s="337">
        <f>G14</f>
        <v>167.00984299999999</v>
      </c>
      <c r="AN14" s="338">
        <f t="shared" si="11"/>
        <v>67.638986415000005</v>
      </c>
      <c r="AO14" s="337">
        <f t="shared" si="12"/>
        <v>86</v>
      </c>
      <c r="AP14" s="337">
        <f t="shared" si="13"/>
        <v>167.00984299999999</v>
      </c>
      <c r="AQ14" s="337">
        <f t="shared" si="14"/>
        <v>67.638986415000005</v>
      </c>
      <c r="AR14" s="337">
        <f t="shared" si="15"/>
        <v>86</v>
      </c>
      <c r="AS14" s="339">
        <f t="shared" si="2"/>
        <v>1.2714560722768038</v>
      </c>
      <c r="AT14" s="414">
        <f t="shared" si="3"/>
        <v>18.361013584999995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0</v>
      </c>
      <c r="E16" s="220">
        <f t="shared" si="18"/>
        <v>0</v>
      </c>
      <c r="F16" s="220">
        <f t="shared" si="18"/>
        <v>0</v>
      </c>
      <c r="G16" s="52">
        <f>SUM(G8:G14)</f>
        <v>34590.050999999999</v>
      </c>
      <c r="H16" s="53">
        <f>IF(G16=0,0,IF(G16&lt;=C16,1,+C16/G16))</f>
        <v>0.37100263309817033</v>
      </c>
      <c r="I16" s="53">
        <f>'RESUMEN INDICADORES'!$F$9</f>
        <v>0.40500000000000003</v>
      </c>
      <c r="J16" s="19">
        <f t="shared" ref="J16" si="19">IF(H16&gt;=I16,1,+H16/I16)</f>
        <v>0.91605588419301309</v>
      </c>
      <c r="K16" s="55">
        <f t="shared" ref="K16" si="20">IF(H16&gt;=I16,12.5,((H16/I16)*12.5))</f>
        <v>11.450698552412664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405">
        <f t="shared" si="7"/>
        <v>0.40500000000000003</v>
      </c>
      <c r="AK16" s="405">
        <f t="shared" ref="AK16" si="21">AO16/AM16</f>
        <v>0.37100263309817033</v>
      </c>
      <c r="AL16" s="405">
        <f t="shared" ref="AL16" si="22">AK16/AJ16</f>
        <v>0.91605588419301309</v>
      </c>
      <c r="AM16" s="337">
        <f>G16</f>
        <v>34590.050999999999</v>
      </c>
      <c r="AN16" s="338">
        <f t="shared" ref="AN16" si="23">AM16*AJ16</f>
        <v>14008.970655000001</v>
      </c>
      <c r="AO16" s="337">
        <f t="shared" si="12"/>
        <v>12833</v>
      </c>
      <c r="AP16" s="337">
        <f t="shared" si="13"/>
        <v>34590.050999999999</v>
      </c>
      <c r="AQ16" s="338">
        <f t="shared" si="14"/>
        <v>14008.970655000001</v>
      </c>
      <c r="AR16" s="337">
        <f t="shared" si="15"/>
        <v>12833</v>
      </c>
      <c r="AS16" s="339">
        <f t="shared" si="2"/>
        <v>0.91605588419301309</v>
      </c>
      <c r="AT16" s="414">
        <f>(AQ16-AR16)*-1</f>
        <v>-1175.970655000001</v>
      </c>
    </row>
    <row r="17" spans="1:23" s="9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70" zoomScaleNormal="70" workbookViewId="0">
      <selection activeCell="V18" sqref="V18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11" t="s">
        <v>23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493"/>
      <c r="AD1" s="493"/>
      <c r="AE1" s="493"/>
      <c r="AF1" s="493"/>
      <c r="AH1" s="61"/>
      <c r="AI1" s="61"/>
      <c r="AJ1" s="61"/>
      <c r="AK1" s="61"/>
      <c r="AL1" s="61"/>
      <c r="AM1" s="61"/>
      <c r="AN1" s="331" t="s">
        <v>169</v>
      </c>
      <c r="AO1" s="324"/>
      <c r="AP1" s="61"/>
      <c r="AQ1" s="61"/>
      <c r="AR1" s="61"/>
    </row>
    <row r="2" spans="1:44" ht="83.25" customHeight="1" thickBot="1" x14ac:dyDescent="0.35">
      <c r="B2" s="450" t="s">
        <v>354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51"/>
      <c r="AD2" s="567"/>
      <c r="AE2" s="567"/>
      <c r="AF2" s="568"/>
      <c r="AH2" s="329"/>
      <c r="AI2" s="329"/>
      <c r="AJ2" s="329"/>
      <c r="AK2" s="330"/>
      <c r="AL2" s="329"/>
      <c r="AM2" s="329"/>
      <c r="AN2" s="343" t="s">
        <v>170</v>
      </c>
      <c r="AO2" s="324">
        <v>3</v>
      </c>
      <c r="AP2" s="332"/>
      <c r="AQ2" s="332"/>
      <c r="AR2" s="329"/>
    </row>
    <row r="3" spans="1:44" ht="30" customHeight="1" thickBot="1" x14ac:dyDescent="0.35">
      <c r="B3" s="115"/>
      <c r="C3" s="451" t="s">
        <v>317</v>
      </c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 t="s">
        <v>318</v>
      </c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68"/>
      <c r="AD3" s="119"/>
      <c r="AE3" s="119"/>
      <c r="AF3" s="120"/>
      <c r="AH3" s="445" t="s">
        <v>171</v>
      </c>
      <c r="AI3" s="445" t="s">
        <v>172</v>
      </c>
      <c r="AJ3" s="445" t="s">
        <v>173</v>
      </c>
      <c r="AK3" s="445" t="s">
        <v>174</v>
      </c>
      <c r="AL3" s="445" t="s">
        <v>175</v>
      </c>
      <c r="AM3" s="445" t="s">
        <v>176</v>
      </c>
      <c r="AN3" s="445" t="s">
        <v>169</v>
      </c>
      <c r="AO3" s="445" t="s">
        <v>203</v>
      </c>
      <c r="AP3" s="445" t="s">
        <v>177</v>
      </c>
      <c r="AQ3" s="445" t="s">
        <v>178</v>
      </c>
      <c r="AR3" s="445" t="s">
        <v>179</v>
      </c>
    </row>
    <row r="4" spans="1:44" ht="18.75" customHeight="1" thickBot="1" x14ac:dyDescent="0.35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2" t="s">
        <v>18</v>
      </c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4" t="s">
        <v>11</v>
      </c>
      <c r="AD4" s="515"/>
      <c r="AE4" s="515"/>
      <c r="AF4" s="516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</row>
    <row r="5" spans="1:44" ht="46.5" customHeight="1" thickBot="1" x14ac:dyDescent="0.35">
      <c r="A5" s="485"/>
      <c r="B5" s="485"/>
      <c r="C5" s="534" t="s">
        <v>60</v>
      </c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4" t="s">
        <v>61</v>
      </c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17"/>
      <c r="AD5" s="518"/>
      <c r="AE5" s="518"/>
      <c r="AF5" s="529"/>
      <c r="AH5" s="481" t="s">
        <v>180</v>
      </c>
      <c r="AI5" s="481" t="s">
        <v>181</v>
      </c>
      <c r="AJ5" s="481" t="s">
        <v>182</v>
      </c>
      <c r="AK5" s="482" t="s">
        <v>183</v>
      </c>
      <c r="AL5" s="482" t="s">
        <v>184</v>
      </c>
      <c r="AM5" s="482" t="s">
        <v>185</v>
      </c>
      <c r="AN5" s="482" t="s">
        <v>186</v>
      </c>
      <c r="AO5" s="482" t="s">
        <v>187</v>
      </c>
      <c r="AP5" s="482" t="s">
        <v>188</v>
      </c>
      <c r="AQ5" s="481" t="s">
        <v>189</v>
      </c>
      <c r="AR5" s="481" t="s">
        <v>190</v>
      </c>
    </row>
    <row r="6" spans="1:44" ht="30.75" customHeight="1" thickBot="1" x14ac:dyDescent="0.35">
      <c r="A6" s="485"/>
      <c r="B6" s="485"/>
      <c r="C6" s="534" t="s">
        <v>62</v>
      </c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4" t="s">
        <v>62</v>
      </c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20"/>
      <c r="AD6" s="521"/>
      <c r="AE6" s="521"/>
      <c r="AF6" s="530"/>
      <c r="AH6" s="481"/>
      <c r="AI6" s="481"/>
      <c r="AJ6" s="481"/>
      <c r="AK6" s="482"/>
      <c r="AL6" s="482"/>
      <c r="AM6" s="482"/>
      <c r="AN6" s="482"/>
      <c r="AO6" s="482"/>
      <c r="AP6" s="482"/>
      <c r="AQ6" s="481"/>
      <c r="AR6" s="481"/>
    </row>
    <row r="7" spans="1:44" s="9" customFormat="1" ht="52.5" thickBot="1" x14ac:dyDescent="0.3">
      <c r="A7" s="485"/>
      <c r="B7" s="485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4" t="s">
        <v>191</v>
      </c>
      <c r="AI7" s="344" t="s">
        <v>192</v>
      </c>
      <c r="AJ7" s="344" t="s">
        <v>193</v>
      </c>
      <c r="AK7" s="344" t="s">
        <v>194</v>
      </c>
      <c r="AL7" s="344" t="s">
        <v>195</v>
      </c>
      <c r="AM7" s="344" t="s">
        <v>196</v>
      </c>
      <c r="AN7" s="344" t="s">
        <v>197</v>
      </c>
      <c r="AO7" s="344" t="s">
        <v>198</v>
      </c>
      <c r="AP7" s="344" t="s">
        <v>199</v>
      </c>
      <c r="AQ7" s="344" t="s">
        <v>200</v>
      </c>
      <c r="AR7" s="345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SUM([1]A03!$H$61)</f>
        <v>10</v>
      </c>
      <c r="D8" s="172">
        <f>SUM([2]A03!$H$61)</f>
        <v>3</v>
      </c>
      <c r="E8" s="172">
        <f>SUM([3]A03!$H$61)</f>
        <v>7</v>
      </c>
      <c r="F8" s="172">
        <f>SUM([4]A03!$H$61)</f>
        <v>6</v>
      </c>
      <c r="G8" s="172">
        <f>SUM([5]A03!$H$61)</f>
        <v>3</v>
      </c>
      <c r="H8" s="172"/>
      <c r="I8" s="172"/>
      <c r="J8" s="172"/>
      <c r="K8" s="172"/>
      <c r="L8" s="172"/>
      <c r="M8" s="172"/>
      <c r="N8" s="173"/>
      <c r="O8" s="182">
        <f>SUM(C8:N8)</f>
        <v>29</v>
      </c>
      <c r="P8" s="172">
        <f>SUM([1]A03!$H$67)</f>
        <v>14</v>
      </c>
      <c r="Q8" s="172">
        <f>SUM([2]A03!$H$67)</f>
        <v>12</v>
      </c>
      <c r="R8" s="172">
        <f>SUM([3]A03!$H$67)</f>
        <v>8</v>
      </c>
      <c r="S8" s="172">
        <f>SUM([4]A03!$H$67)</f>
        <v>10</v>
      </c>
      <c r="T8" s="172">
        <f>SUM([5]A03!$H$67)</f>
        <v>7</v>
      </c>
      <c r="U8" s="172"/>
      <c r="V8" s="172"/>
      <c r="W8" s="172"/>
      <c r="X8" s="172"/>
      <c r="Y8" s="172"/>
      <c r="Z8" s="172"/>
      <c r="AA8" s="173"/>
      <c r="AB8" s="182">
        <f>SUM(P8:AA8)</f>
        <v>51</v>
      </c>
      <c r="AC8" s="227">
        <f t="shared" ref="AC8:AC14" si="0">IF(AB8=0,0,IF(AB8&lt;=O8,1,+O8/AB8))</f>
        <v>0.56862745098039214</v>
      </c>
      <c r="AD8" s="227">
        <f>'RESUMEN INDICADORES'!$F$10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406">
        <f>AD8</f>
        <v>0.5</v>
      </c>
      <c r="AI8" s="406">
        <f>AM8/AK8</f>
        <v>0.56862745098039214</v>
      </c>
      <c r="AJ8" s="406">
        <f>AI8/AH8</f>
        <v>1.1372549019607843</v>
      </c>
      <c r="AK8" s="346">
        <f t="shared" ref="AK8:AK14" si="3">AB8</f>
        <v>51</v>
      </c>
      <c r="AL8" s="347">
        <f>AK8*AH8</f>
        <v>25.5</v>
      </c>
      <c r="AM8" s="346">
        <f t="shared" ref="AM8:AM14" si="4">O8</f>
        <v>29</v>
      </c>
      <c r="AN8" s="348" t="s">
        <v>202</v>
      </c>
      <c r="AO8" s="347">
        <f t="shared" ref="AO8:AO14" si="5">AB8*AH8</f>
        <v>25.5</v>
      </c>
      <c r="AP8" s="346">
        <f t="shared" ref="AP8:AP14" si="6">O8</f>
        <v>29</v>
      </c>
      <c r="AQ8" s="339">
        <f t="shared" ref="AQ8:AQ16" si="7">IFERROR(AP8/AO8,0)</f>
        <v>1.1372549019607843</v>
      </c>
      <c r="AR8" s="414">
        <f t="shared" ref="AR8:AR16" si="8">(AO8-AP8)*-1</f>
        <v>3.5</v>
      </c>
    </row>
    <row r="9" spans="1:44" s="9" customFormat="1" ht="39.950000000000003" customHeight="1" x14ac:dyDescent="0.3">
      <c r="A9" s="144"/>
      <c r="B9" s="134" t="s">
        <v>119</v>
      </c>
      <c r="C9" s="178">
        <f>SUM([6]A03!$H$61)</f>
        <v>7</v>
      </c>
      <c r="D9" s="178">
        <f>SUM([7]A03!$H$61)</f>
        <v>8</v>
      </c>
      <c r="E9" s="178">
        <f>SUM([8]A03!$H$61)</f>
        <v>12</v>
      </c>
      <c r="F9" s="178">
        <f>SUM([9]A03!$H$61)</f>
        <v>9</v>
      </c>
      <c r="G9" s="178">
        <f>SUM([10]A03!$H$61)</f>
        <v>5</v>
      </c>
      <c r="H9" s="178"/>
      <c r="I9" s="178"/>
      <c r="J9" s="178"/>
      <c r="K9" s="178"/>
      <c r="L9" s="178"/>
      <c r="M9" s="178"/>
      <c r="N9" s="179"/>
      <c r="O9" s="183">
        <f>SUM(C9:N9)</f>
        <v>41</v>
      </c>
      <c r="P9" s="178">
        <f>SUM([6]A03!$H$67)</f>
        <v>16</v>
      </c>
      <c r="Q9" s="178">
        <f>SUM([7]A03!$H$67)</f>
        <v>16</v>
      </c>
      <c r="R9" s="178">
        <f>SUM([8]A03!$H$67)</f>
        <v>18</v>
      </c>
      <c r="S9" s="178">
        <f>SUM([9]A03!$H$67)</f>
        <v>16</v>
      </c>
      <c r="T9" s="178">
        <f>SUM([10]A03!$H$67)</f>
        <v>13</v>
      </c>
      <c r="U9" s="178"/>
      <c r="V9" s="178"/>
      <c r="W9" s="178"/>
      <c r="X9" s="178"/>
      <c r="Y9" s="178"/>
      <c r="Z9" s="178"/>
      <c r="AA9" s="179"/>
      <c r="AB9" s="183">
        <f>SUM(P9:AA9)</f>
        <v>79</v>
      </c>
      <c r="AC9" s="228">
        <f t="shared" si="0"/>
        <v>0.51898734177215189</v>
      </c>
      <c r="AD9" s="228">
        <f>'RESUMEN INDICADORES'!$F$10</f>
        <v>0.5</v>
      </c>
      <c r="AE9" s="231">
        <f t="shared" ref="AE9" si="9">IF(AC9&gt;=AD9,1,+AC9/AD9)</f>
        <v>1</v>
      </c>
      <c r="AF9" s="203">
        <f t="shared" ref="AF9" si="10">IF(AC9&gt;=AD9,12.5,((AC9/AD9)*12.5))</f>
        <v>12.5</v>
      </c>
      <c r="AH9" s="406">
        <f t="shared" ref="AH9:AH16" si="11">AD9</f>
        <v>0.5</v>
      </c>
      <c r="AI9" s="406">
        <f t="shared" ref="AI9:AI14" si="12">AM9/AK9</f>
        <v>0.51898734177215189</v>
      </c>
      <c r="AJ9" s="406">
        <f t="shared" ref="AJ9:AJ14" si="13">AI9/AH9</f>
        <v>1.0379746835443038</v>
      </c>
      <c r="AK9" s="346">
        <f t="shared" si="3"/>
        <v>79</v>
      </c>
      <c r="AL9" s="347">
        <f t="shared" ref="AL9:AL14" si="14">AK9*AH9</f>
        <v>39.5</v>
      </c>
      <c r="AM9" s="346">
        <f t="shared" si="4"/>
        <v>41</v>
      </c>
      <c r="AN9" s="348" t="s">
        <v>202</v>
      </c>
      <c r="AO9" s="347">
        <f t="shared" si="5"/>
        <v>39.5</v>
      </c>
      <c r="AP9" s="346">
        <f t="shared" si="6"/>
        <v>41</v>
      </c>
      <c r="AQ9" s="339">
        <f t="shared" si="7"/>
        <v>1.0379746835443038</v>
      </c>
      <c r="AR9" s="414">
        <f t="shared" si="8"/>
        <v>1.5</v>
      </c>
    </row>
    <row r="10" spans="1:44" s="9" customFormat="1" ht="39.950000000000003" customHeight="1" x14ac:dyDescent="0.3">
      <c r="A10" s="144"/>
      <c r="B10" s="134" t="s">
        <v>120</v>
      </c>
      <c r="C10" s="178">
        <f>SUM([11]A03!$H$61)</f>
        <v>6</v>
      </c>
      <c r="D10" s="178">
        <f>SUM([12]A03!$H$61)</f>
        <v>6</v>
      </c>
      <c r="E10" s="178">
        <f>SUM([13]A03!$H$61)</f>
        <v>5</v>
      </c>
      <c r="F10" s="178">
        <f>SUM([14]A03!$H$61)</f>
        <v>2</v>
      </c>
      <c r="G10" s="178">
        <f>SUM([15]A03!$H$61)</f>
        <v>7</v>
      </c>
      <c r="H10" s="178"/>
      <c r="I10" s="178"/>
      <c r="J10" s="178"/>
      <c r="K10" s="178"/>
      <c r="L10" s="178"/>
      <c r="M10" s="178"/>
      <c r="N10" s="179"/>
      <c r="O10" s="183">
        <f t="shared" ref="O10:O14" si="15">SUM(C10:N10)</f>
        <v>26</v>
      </c>
      <c r="P10" s="178">
        <f>SUM([11]A03!$H$67)</f>
        <v>11</v>
      </c>
      <c r="Q10" s="178">
        <f>SUM([12]A03!$H$67)</f>
        <v>13</v>
      </c>
      <c r="R10" s="178">
        <f>SUM([13]A03!$H$67)</f>
        <v>10</v>
      </c>
      <c r="S10" s="178">
        <f>SUM([14]A03!$H$67)</f>
        <v>9</v>
      </c>
      <c r="T10" s="178">
        <f>SUM([15]A03!$H$67)</f>
        <v>9</v>
      </c>
      <c r="U10" s="178"/>
      <c r="V10" s="178"/>
      <c r="W10" s="178"/>
      <c r="X10" s="178"/>
      <c r="Y10" s="178"/>
      <c r="Z10" s="178"/>
      <c r="AA10" s="179"/>
      <c r="AB10" s="183">
        <f t="shared" ref="AB10:AB14" si="16">SUM(P10:AA10)</f>
        <v>52</v>
      </c>
      <c r="AC10" s="228">
        <f t="shared" si="0"/>
        <v>0.5</v>
      </c>
      <c r="AD10" s="228">
        <f>'RESUMEN INDICADORES'!$F$10</f>
        <v>0.5</v>
      </c>
      <c r="AE10" s="231">
        <f t="shared" ref="AE10:AE14" si="17">IF(AC10&gt;=AD10,1,+AC10/AD10)</f>
        <v>1</v>
      </c>
      <c r="AF10" s="203">
        <f t="shared" ref="AF10:AF14" si="18">IF(AC10&gt;=AD10,12.5,((AC10/AD10)*12.5))</f>
        <v>12.5</v>
      </c>
      <c r="AH10" s="406">
        <f t="shared" si="11"/>
        <v>0.5</v>
      </c>
      <c r="AI10" s="406">
        <f t="shared" si="12"/>
        <v>0.5</v>
      </c>
      <c r="AJ10" s="406">
        <f t="shared" si="13"/>
        <v>1</v>
      </c>
      <c r="AK10" s="346">
        <f t="shared" si="3"/>
        <v>52</v>
      </c>
      <c r="AL10" s="347">
        <f t="shared" si="14"/>
        <v>26</v>
      </c>
      <c r="AM10" s="346">
        <f t="shared" si="4"/>
        <v>26</v>
      </c>
      <c r="AN10" s="348" t="s">
        <v>202</v>
      </c>
      <c r="AO10" s="347">
        <f t="shared" si="5"/>
        <v>26</v>
      </c>
      <c r="AP10" s="346">
        <f t="shared" si="6"/>
        <v>26</v>
      </c>
      <c r="AQ10" s="339">
        <f t="shared" si="7"/>
        <v>1</v>
      </c>
      <c r="AR10" s="414">
        <f t="shared" si="8"/>
        <v>0</v>
      </c>
    </row>
    <row r="11" spans="1:44" s="9" customFormat="1" ht="39.950000000000003" customHeight="1" x14ac:dyDescent="0.3">
      <c r="A11" s="144"/>
      <c r="B11" s="134" t="s">
        <v>118</v>
      </c>
      <c r="C11" s="178">
        <f>SUM([16]A03!$H$61)</f>
        <v>6</v>
      </c>
      <c r="D11" s="178">
        <f>SUM([17]A03!$H$61)</f>
        <v>7</v>
      </c>
      <c r="E11" s="178">
        <f>SUM([18]A03!$H$61)</f>
        <v>11</v>
      </c>
      <c r="F11" s="178">
        <f>SUM([19]A03!$H$61)</f>
        <v>8</v>
      </c>
      <c r="G11" s="178">
        <f>SUM([20]A03!$H$61)</f>
        <v>7</v>
      </c>
      <c r="H11" s="178"/>
      <c r="I11" s="178"/>
      <c r="J11" s="178"/>
      <c r="K11" s="178"/>
      <c r="L11" s="178"/>
      <c r="M11" s="178"/>
      <c r="N11" s="179"/>
      <c r="O11" s="183">
        <f t="shared" si="15"/>
        <v>39</v>
      </c>
      <c r="P11" s="178">
        <f>SUM([16]A03!$H$67)</f>
        <v>16</v>
      </c>
      <c r="Q11" s="178">
        <f>SUM([17]A03!$H$67)</f>
        <v>13</v>
      </c>
      <c r="R11" s="178">
        <f>SUM([18]A03!$H$67)</f>
        <v>16</v>
      </c>
      <c r="S11" s="178">
        <f>SUM([19]A03!$H$67)</f>
        <v>23</v>
      </c>
      <c r="T11" s="178">
        <f>SUM([20]A03!$H$67)</f>
        <v>10</v>
      </c>
      <c r="U11" s="178"/>
      <c r="V11" s="178"/>
      <c r="W11" s="178"/>
      <c r="X11" s="178"/>
      <c r="Y11" s="178"/>
      <c r="Z11" s="178"/>
      <c r="AA11" s="179"/>
      <c r="AB11" s="183">
        <f t="shared" si="16"/>
        <v>78</v>
      </c>
      <c r="AC11" s="228">
        <f t="shared" si="0"/>
        <v>0.5</v>
      </c>
      <c r="AD11" s="228">
        <f>'RESUMEN INDICADORES'!$F$10</f>
        <v>0.5</v>
      </c>
      <c r="AE11" s="231">
        <f t="shared" si="17"/>
        <v>1</v>
      </c>
      <c r="AF11" s="203">
        <f t="shared" si="18"/>
        <v>12.5</v>
      </c>
      <c r="AH11" s="406">
        <f t="shared" si="11"/>
        <v>0.5</v>
      </c>
      <c r="AI11" s="406">
        <f t="shared" si="12"/>
        <v>0.5</v>
      </c>
      <c r="AJ11" s="406">
        <f t="shared" si="13"/>
        <v>1</v>
      </c>
      <c r="AK11" s="346">
        <f t="shared" si="3"/>
        <v>78</v>
      </c>
      <c r="AL11" s="347">
        <f t="shared" si="14"/>
        <v>39</v>
      </c>
      <c r="AM11" s="346">
        <f t="shared" si="4"/>
        <v>39</v>
      </c>
      <c r="AN11" s="348" t="s">
        <v>202</v>
      </c>
      <c r="AO11" s="347">
        <f t="shared" si="5"/>
        <v>39</v>
      </c>
      <c r="AP11" s="346">
        <f t="shared" si="6"/>
        <v>39</v>
      </c>
      <c r="AQ11" s="339">
        <f t="shared" si="7"/>
        <v>1</v>
      </c>
      <c r="AR11" s="414">
        <f t="shared" si="8"/>
        <v>0</v>
      </c>
    </row>
    <row r="12" spans="1:44" s="9" customFormat="1" ht="39.950000000000003" customHeight="1" x14ac:dyDescent="0.3">
      <c r="A12" s="144"/>
      <c r="B12" s="134" t="s">
        <v>122</v>
      </c>
      <c r="C12" s="178">
        <f>SUM([21]A03!$H$61)</f>
        <v>5</v>
      </c>
      <c r="D12" s="178">
        <f>SUM([22]A03!$H$61)</f>
        <v>4</v>
      </c>
      <c r="E12" s="178">
        <f>SUM([23]A03!$H$61)</f>
        <v>10</v>
      </c>
      <c r="F12" s="178">
        <f>SUM([24]A03!$H$61)</f>
        <v>5</v>
      </c>
      <c r="G12" s="178">
        <f>SUM([25]A03!$H$61)</f>
        <v>3</v>
      </c>
      <c r="H12" s="178"/>
      <c r="I12" s="178"/>
      <c r="J12" s="178"/>
      <c r="K12" s="178"/>
      <c r="L12" s="178"/>
      <c r="M12" s="178"/>
      <c r="N12" s="179"/>
      <c r="O12" s="183">
        <f t="shared" si="15"/>
        <v>27</v>
      </c>
      <c r="P12" s="178">
        <f>SUM([21]A03!$H$67)</f>
        <v>10</v>
      </c>
      <c r="Q12" s="178">
        <f>SUM([22]A03!$H$67)</f>
        <v>14</v>
      </c>
      <c r="R12" s="178">
        <f>SUM([23]A03!$H$67)</f>
        <v>20</v>
      </c>
      <c r="S12" s="178">
        <f>SUM([24]A03!$H$67)</f>
        <v>14</v>
      </c>
      <c r="T12" s="178">
        <f>SUM([25]A03!$H$67)</f>
        <v>6</v>
      </c>
      <c r="U12" s="178"/>
      <c r="V12" s="178"/>
      <c r="W12" s="178"/>
      <c r="X12" s="178"/>
      <c r="Y12" s="178"/>
      <c r="Z12" s="178"/>
      <c r="AA12" s="179"/>
      <c r="AB12" s="183">
        <f t="shared" si="16"/>
        <v>64</v>
      </c>
      <c r="AC12" s="228">
        <f t="shared" si="0"/>
        <v>0.421875</v>
      </c>
      <c r="AD12" s="228">
        <f>'RESUMEN INDICADORES'!$F$10</f>
        <v>0.5</v>
      </c>
      <c r="AE12" s="231">
        <f t="shared" si="17"/>
        <v>0.84375</v>
      </c>
      <c r="AF12" s="203">
        <f t="shared" si="18"/>
        <v>10.546875</v>
      </c>
      <c r="AH12" s="406">
        <f t="shared" si="11"/>
        <v>0.5</v>
      </c>
      <c r="AI12" s="406">
        <f t="shared" si="12"/>
        <v>0.421875</v>
      </c>
      <c r="AJ12" s="406">
        <f t="shared" si="13"/>
        <v>0.84375</v>
      </c>
      <c r="AK12" s="346">
        <f t="shared" si="3"/>
        <v>64</v>
      </c>
      <c r="AL12" s="347">
        <f t="shared" si="14"/>
        <v>32</v>
      </c>
      <c r="AM12" s="346">
        <f t="shared" si="4"/>
        <v>27</v>
      </c>
      <c r="AN12" s="348" t="s">
        <v>202</v>
      </c>
      <c r="AO12" s="347">
        <f t="shared" si="5"/>
        <v>32</v>
      </c>
      <c r="AP12" s="346">
        <f t="shared" si="6"/>
        <v>27</v>
      </c>
      <c r="AQ12" s="339">
        <f t="shared" si="7"/>
        <v>0.84375</v>
      </c>
      <c r="AR12" s="414">
        <f t="shared" si="8"/>
        <v>-5</v>
      </c>
    </row>
    <row r="13" spans="1:44" s="9" customFormat="1" ht="39.950000000000003" customHeight="1" x14ac:dyDescent="0.3">
      <c r="A13" s="144"/>
      <c r="B13" s="134" t="s">
        <v>123</v>
      </c>
      <c r="C13" s="178">
        <f>SUM([26]A03!$H$61)</f>
        <v>0</v>
      </c>
      <c r="D13" s="178">
        <f>SUM([27]A03!$H$61)</f>
        <v>4</v>
      </c>
      <c r="E13" s="178">
        <f>SUM([28]A03!$H$61)</f>
        <v>6</v>
      </c>
      <c r="F13" s="178">
        <f>SUM([29]A03!$H$61)</f>
        <v>2</v>
      </c>
      <c r="G13" s="178">
        <f>SUM([30]A03!$H$61)</f>
        <v>3</v>
      </c>
      <c r="H13" s="178"/>
      <c r="I13" s="178"/>
      <c r="J13" s="178"/>
      <c r="K13" s="178"/>
      <c r="L13" s="178"/>
      <c r="M13" s="178"/>
      <c r="N13" s="179"/>
      <c r="O13" s="183">
        <f t="shared" si="15"/>
        <v>15</v>
      </c>
      <c r="P13" s="178">
        <f>SUM([26]A03!$H$67)</f>
        <v>0</v>
      </c>
      <c r="Q13" s="178">
        <f>SUM([27]A03!$H$67)</f>
        <v>7</v>
      </c>
      <c r="R13" s="178">
        <f>SUM([28]A03!$H$67)</f>
        <v>12</v>
      </c>
      <c r="S13" s="178">
        <f>SUM([29]A03!$H$67)</f>
        <v>5</v>
      </c>
      <c r="T13" s="178">
        <f>SUM([30]A03!$H$67)</f>
        <v>7</v>
      </c>
      <c r="U13" s="178"/>
      <c r="V13" s="178"/>
      <c r="W13" s="178"/>
      <c r="X13" s="178"/>
      <c r="Y13" s="178"/>
      <c r="Z13" s="178"/>
      <c r="AA13" s="179"/>
      <c r="AB13" s="183">
        <f t="shared" si="16"/>
        <v>31</v>
      </c>
      <c r="AC13" s="228">
        <f t="shared" si="0"/>
        <v>0.4838709677419355</v>
      </c>
      <c r="AD13" s="228">
        <f>'RESUMEN INDICADORES'!$F$10</f>
        <v>0.5</v>
      </c>
      <c r="AE13" s="231">
        <f t="shared" si="17"/>
        <v>0.967741935483871</v>
      </c>
      <c r="AF13" s="203">
        <f t="shared" si="18"/>
        <v>12.096774193548388</v>
      </c>
      <c r="AH13" s="406">
        <f t="shared" si="11"/>
        <v>0.5</v>
      </c>
      <c r="AI13" s="406">
        <f t="shared" si="12"/>
        <v>0.4838709677419355</v>
      </c>
      <c r="AJ13" s="406">
        <f t="shared" si="13"/>
        <v>0.967741935483871</v>
      </c>
      <c r="AK13" s="346">
        <f t="shared" si="3"/>
        <v>31</v>
      </c>
      <c r="AL13" s="347">
        <f t="shared" si="14"/>
        <v>15.5</v>
      </c>
      <c r="AM13" s="346">
        <f t="shared" si="4"/>
        <v>15</v>
      </c>
      <c r="AN13" s="348" t="s">
        <v>202</v>
      </c>
      <c r="AO13" s="347">
        <f t="shared" si="5"/>
        <v>15.5</v>
      </c>
      <c r="AP13" s="346">
        <f t="shared" si="6"/>
        <v>15</v>
      </c>
      <c r="AQ13" s="339">
        <f t="shared" si="7"/>
        <v>0.967741935483871</v>
      </c>
      <c r="AR13" s="414">
        <f t="shared" si="8"/>
        <v>-0.5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SUM([31]A03!$H$61)</f>
        <v>0</v>
      </c>
      <c r="D14" s="180">
        <f>SUM([32]A03!$H$61)</f>
        <v>0</v>
      </c>
      <c r="E14" s="180">
        <f>SUM([33]A03!$H$61)</f>
        <v>0</v>
      </c>
      <c r="F14" s="180">
        <f>SUM([34]A03!$H$61)</f>
        <v>0</v>
      </c>
      <c r="G14" s="180">
        <f>SUM([35]A03!$H$61)</f>
        <v>0</v>
      </c>
      <c r="H14" s="180"/>
      <c r="I14" s="180"/>
      <c r="J14" s="180"/>
      <c r="K14" s="180"/>
      <c r="L14" s="180"/>
      <c r="M14" s="180"/>
      <c r="N14" s="181"/>
      <c r="O14" s="184">
        <f t="shared" si="15"/>
        <v>0</v>
      </c>
      <c r="P14" s="180">
        <f>SUM([31]A03!$H$67)</f>
        <v>0</v>
      </c>
      <c r="Q14" s="180">
        <f>SUM([32]A03!$H$67)</f>
        <v>0</v>
      </c>
      <c r="R14" s="180">
        <f>SUM([33]A03!$H$67)</f>
        <v>0</v>
      </c>
      <c r="S14" s="180">
        <f>SUM([34]A03!$H$67)</f>
        <v>0</v>
      </c>
      <c r="T14" s="180">
        <f>SUM([35]A03!$H$67)</f>
        <v>0</v>
      </c>
      <c r="U14" s="180"/>
      <c r="V14" s="180"/>
      <c r="W14" s="180"/>
      <c r="X14" s="180"/>
      <c r="Y14" s="180"/>
      <c r="Z14" s="180"/>
      <c r="AA14" s="181"/>
      <c r="AB14" s="184">
        <f t="shared" si="16"/>
        <v>0</v>
      </c>
      <c r="AC14" s="229">
        <f t="shared" si="0"/>
        <v>0</v>
      </c>
      <c r="AD14" s="229">
        <f>'RESUMEN INDICADORES'!$F$10</f>
        <v>0.5</v>
      </c>
      <c r="AE14" s="232">
        <f t="shared" si="17"/>
        <v>0</v>
      </c>
      <c r="AF14" s="206">
        <f t="shared" si="18"/>
        <v>0</v>
      </c>
      <c r="AH14" s="406">
        <f t="shared" si="11"/>
        <v>0.5</v>
      </c>
      <c r="AI14" s="406" t="e">
        <f t="shared" si="12"/>
        <v>#DIV/0!</v>
      </c>
      <c r="AJ14" s="406" t="e">
        <f t="shared" si="13"/>
        <v>#DIV/0!</v>
      </c>
      <c r="AK14" s="346">
        <f t="shared" si="3"/>
        <v>0</v>
      </c>
      <c r="AL14" s="347">
        <f t="shared" si="14"/>
        <v>0</v>
      </c>
      <c r="AM14" s="346">
        <f t="shared" si="4"/>
        <v>0</v>
      </c>
      <c r="AN14" s="348" t="s">
        <v>202</v>
      </c>
      <c r="AO14" s="347">
        <f t="shared" si="5"/>
        <v>0</v>
      </c>
      <c r="AP14" s="346">
        <f t="shared" si="6"/>
        <v>0</v>
      </c>
      <c r="AQ14" s="339">
        <f t="shared" si="7"/>
        <v>0</v>
      </c>
      <c r="AR14" s="414">
        <f t="shared" si="8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9">SUM(D8:D14)</f>
        <v>32</v>
      </c>
      <c r="E16" s="176">
        <f t="shared" si="19"/>
        <v>51</v>
      </c>
      <c r="F16" s="176">
        <f t="shared" si="19"/>
        <v>32</v>
      </c>
      <c r="G16" s="176">
        <f t="shared" si="19"/>
        <v>28</v>
      </c>
      <c r="H16" s="176">
        <f t="shared" si="19"/>
        <v>0</v>
      </c>
      <c r="I16" s="176">
        <f t="shared" si="19"/>
        <v>0</v>
      </c>
      <c r="J16" s="176">
        <f t="shared" si="19"/>
        <v>0</v>
      </c>
      <c r="K16" s="176">
        <f t="shared" si="19"/>
        <v>0</v>
      </c>
      <c r="L16" s="176">
        <f t="shared" si="19"/>
        <v>0</v>
      </c>
      <c r="M16" s="176">
        <f t="shared" si="19"/>
        <v>0</v>
      </c>
      <c r="N16" s="176">
        <f t="shared" si="19"/>
        <v>0</v>
      </c>
      <c r="O16" s="177">
        <f>SUM(C16:N16)</f>
        <v>177</v>
      </c>
      <c r="P16" s="176">
        <f>SUM(P8:P14)</f>
        <v>67</v>
      </c>
      <c r="Q16" s="176">
        <f t="shared" ref="Q16:AA16" si="20">SUM(Q8:Q14)</f>
        <v>75</v>
      </c>
      <c r="R16" s="176">
        <f t="shared" si="20"/>
        <v>84</v>
      </c>
      <c r="S16" s="176">
        <f t="shared" si="20"/>
        <v>77</v>
      </c>
      <c r="T16" s="176">
        <f t="shared" si="20"/>
        <v>52</v>
      </c>
      <c r="U16" s="176">
        <f t="shared" si="20"/>
        <v>0</v>
      </c>
      <c r="V16" s="176">
        <f t="shared" si="20"/>
        <v>0</v>
      </c>
      <c r="W16" s="176">
        <f t="shared" si="20"/>
        <v>0</v>
      </c>
      <c r="X16" s="176">
        <f t="shared" si="20"/>
        <v>0</v>
      </c>
      <c r="Y16" s="176">
        <f t="shared" si="20"/>
        <v>0</v>
      </c>
      <c r="Z16" s="176">
        <f t="shared" si="20"/>
        <v>0</v>
      </c>
      <c r="AA16" s="176">
        <f t="shared" si="20"/>
        <v>0</v>
      </c>
      <c r="AB16" s="177">
        <f>SUM(P16:AA16)</f>
        <v>355</v>
      </c>
      <c r="AC16" s="18">
        <f t="shared" ref="AC16" si="21">IF(AB16=0,0,IF(AB16&lt;=O16,1,+O16/AB16))</f>
        <v>0.49859154929577465</v>
      </c>
      <c r="AD16" s="229">
        <f>'RESUMEN INDICADORES'!$F$10</f>
        <v>0.5</v>
      </c>
      <c r="AE16" s="19">
        <f t="shared" ref="AE16" si="22">IF(AC16&gt;=AD16,1,+AC16/AD16)</f>
        <v>0.9971830985915493</v>
      </c>
      <c r="AF16" s="55">
        <f t="shared" ref="AF16" si="23">IF(AC16&gt;=AD16,12.5,((AC16/AD16)*12.5))</f>
        <v>12.464788732394366</v>
      </c>
      <c r="AH16" s="406">
        <f t="shared" si="11"/>
        <v>0.5</v>
      </c>
      <c r="AI16" s="406">
        <f t="shared" ref="AI16" si="24">AM16/AK16</f>
        <v>0.49859154929577465</v>
      </c>
      <c r="AJ16" s="406">
        <f t="shared" ref="AJ16" si="25">AI16/AH16</f>
        <v>0.9971830985915493</v>
      </c>
      <c r="AK16" s="346">
        <f>AB16</f>
        <v>355</v>
      </c>
      <c r="AL16" s="347">
        <f t="shared" ref="AL16" si="26">AK16*AH16</f>
        <v>177.5</v>
      </c>
      <c r="AM16" s="346">
        <f>O16</f>
        <v>177</v>
      </c>
      <c r="AN16" s="348" t="s">
        <v>202</v>
      </c>
      <c r="AO16" s="347">
        <f>AB16*AH16</f>
        <v>177.5</v>
      </c>
      <c r="AP16" s="346">
        <f>O16</f>
        <v>177</v>
      </c>
      <c r="AQ16" s="339">
        <f t="shared" si="7"/>
        <v>0.9971830985915493</v>
      </c>
      <c r="AR16" s="414">
        <f t="shared" si="8"/>
        <v>-0.5</v>
      </c>
    </row>
    <row r="17" spans="1:37" s="9" customForma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M3:AM4"/>
    <mergeCell ref="AN3:AN4"/>
    <mergeCell ref="AO3:AO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92D050"/>
  </sheetPr>
  <dimension ref="A1:W3710"/>
  <sheetViews>
    <sheetView showGridLines="0" zoomScale="70" zoomScaleNormal="70" workbookViewId="0">
      <selection activeCell="D8" sqref="D8:D14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492" t="s">
        <v>23</v>
      </c>
      <c r="C1" s="492"/>
      <c r="D1" s="492"/>
      <c r="E1" s="492"/>
      <c r="F1" s="492"/>
      <c r="G1" s="492"/>
      <c r="H1" s="492"/>
      <c r="I1" s="492"/>
      <c r="J1" s="492"/>
      <c r="K1" s="492"/>
      <c r="M1" s="61"/>
      <c r="N1" s="61"/>
      <c r="O1" s="61"/>
      <c r="P1" s="61"/>
      <c r="Q1" s="61"/>
      <c r="R1" s="61"/>
      <c r="S1" s="323" t="s">
        <v>169</v>
      </c>
      <c r="T1" s="327"/>
      <c r="U1" s="61"/>
      <c r="V1" s="61"/>
      <c r="W1" s="61"/>
    </row>
    <row r="2" spans="1:23" ht="38.25" customHeight="1" thickBot="1" x14ac:dyDescent="0.35">
      <c r="B2" s="450" t="s">
        <v>63</v>
      </c>
      <c r="C2" s="451"/>
      <c r="D2" s="451"/>
      <c r="E2" s="451"/>
      <c r="F2" s="451"/>
      <c r="G2" s="451"/>
      <c r="H2" s="451"/>
      <c r="I2" s="451"/>
      <c r="J2" s="451"/>
      <c r="K2" s="452"/>
      <c r="M2" s="325"/>
      <c r="N2" s="325"/>
      <c r="O2" s="325"/>
      <c r="P2" s="326"/>
      <c r="Q2" s="325"/>
      <c r="R2" s="325"/>
      <c r="S2" s="333" t="s">
        <v>170</v>
      </c>
      <c r="T2" s="327">
        <v>3</v>
      </c>
      <c r="U2" s="328"/>
      <c r="V2" s="328"/>
      <c r="W2" s="325"/>
    </row>
    <row r="3" spans="1:23" ht="38.25" customHeight="1" thickBot="1" x14ac:dyDescent="0.35">
      <c r="B3" s="115"/>
      <c r="C3" s="570" t="s">
        <v>319</v>
      </c>
      <c r="D3" s="570"/>
      <c r="E3" s="570"/>
      <c r="F3" s="570"/>
      <c r="G3" s="571" t="s">
        <v>115</v>
      </c>
      <c r="H3" s="571"/>
      <c r="I3" s="68"/>
      <c r="J3" s="68"/>
      <c r="K3" s="116"/>
      <c r="M3" s="445" t="s">
        <v>171</v>
      </c>
      <c r="N3" s="445" t="s">
        <v>172</v>
      </c>
      <c r="O3" s="445" t="s">
        <v>173</v>
      </c>
      <c r="P3" s="445" t="s">
        <v>174</v>
      </c>
      <c r="Q3" s="445" t="s">
        <v>175</v>
      </c>
      <c r="R3" s="445" t="s">
        <v>176</v>
      </c>
      <c r="S3" s="445" t="s">
        <v>206</v>
      </c>
      <c r="T3" s="445" t="s">
        <v>205</v>
      </c>
      <c r="U3" s="445" t="s">
        <v>177</v>
      </c>
      <c r="V3" s="445" t="s">
        <v>178</v>
      </c>
      <c r="W3" s="445" t="s">
        <v>179</v>
      </c>
    </row>
    <row r="4" spans="1:23" ht="18.75" customHeight="1" thickBot="1" x14ac:dyDescent="0.35">
      <c r="A4" s="484" t="s">
        <v>117</v>
      </c>
      <c r="B4" s="484" t="s">
        <v>110</v>
      </c>
      <c r="C4" s="512" t="s">
        <v>17</v>
      </c>
      <c r="D4" s="513"/>
      <c r="E4" s="513"/>
      <c r="F4" s="513"/>
      <c r="G4" s="26" t="s">
        <v>18</v>
      </c>
      <c r="H4" s="514" t="s">
        <v>11</v>
      </c>
      <c r="I4" s="553"/>
      <c r="J4" s="553"/>
      <c r="K4" s="472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</row>
    <row r="5" spans="1:23" ht="63.75" customHeight="1" thickBot="1" x14ac:dyDescent="0.35">
      <c r="A5" s="485"/>
      <c r="B5" s="485"/>
      <c r="C5" s="557" t="s">
        <v>64</v>
      </c>
      <c r="D5" s="558"/>
      <c r="E5" s="558"/>
      <c r="F5" s="559"/>
      <c r="G5" s="499" t="s">
        <v>65</v>
      </c>
      <c r="H5" s="526"/>
      <c r="I5" s="527"/>
      <c r="J5" s="527"/>
      <c r="K5" s="528"/>
      <c r="M5" s="532" t="s">
        <v>180</v>
      </c>
      <c r="N5" s="532" t="s">
        <v>181</v>
      </c>
      <c r="O5" s="532" t="s">
        <v>182</v>
      </c>
      <c r="P5" s="482" t="s">
        <v>183</v>
      </c>
      <c r="Q5" s="482" t="s">
        <v>184</v>
      </c>
      <c r="R5" s="482" t="s">
        <v>185</v>
      </c>
      <c r="S5" s="482" t="s">
        <v>204</v>
      </c>
      <c r="T5" s="482" t="s">
        <v>187</v>
      </c>
      <c r="U5" s="482" t="s">
        <v>188</v>
      </c>
      <c r="V5" s="533" t="s">
        <v>189</v>
      </c>
      <c r="W5" s="481" t="s">
        <v>190</v>
      </c>
    </row>
    <row r="6" spans="1:23" ht="18.75" customHeight="1" thickBot="1" x14ac:dyDescent="0.35">
      <c r="A6" s="485"/>
      <c r="B6" s="485"/>
      <c r="C6" s="501" t="s">
        <v>26</v>
      </c>
      <c r="D6" s="502"/>
      <c r="E6" s="502"/>
      <c r="F6" s="503"/>
      <c r="G6" s="500"/>
      <c r="H6" s="485" t="s">
        <v>35</v>
      </c>
      <c r="I6" s="485" t="s">
        <v>13</v>
      </c>
      <c r="J6" s="569" t="s">
        <v>37</v>
      </c>
      <c r="K6" s="485" t="s">
        <v>49</v>
      </c>
      <c r="M6" s="532"/>
      <c r="N6" s="532"/>
      <c r="O6" s="532"/>
      <c r="P6" s="482"/>
      <c r="Q6" s="482"/>
      <c r="R6" s="482"/>
      <c r="S6" s="482"/>
      <c r="T6" s="482"/>
      <c r="U6" s="482"/>
      <c r="V6" s="533"/>
      <c r="W6" s="481"/>
    </row>
    <row r="7" spans="1:23" s="9" customFormat="1" ht="18" thickBot="1" x14ac:dyDescent="0.3">
      <c r="A7" s="485"/>
      <c r="B7" s="485"/>
      <c r="C7" s="145" t="s">
        <v>51</v>
      </c>
      <c r="D7" s="145" t="s">
        <v>52</v>
      </c>
      <c r="E7" s="145" t="s">
        <v>53</v>
      </c>
      <c r="F7" s="145" t="s">
        <v>54</v>
      </c>
      <c r="G7" s="500"/>
      <c r="H7" s="531"/>
      <c r="I7" s="531"/>
      <c r="J7" s="531"/>
      <c r="K7" s="531"/>
      <c r="M7" s="334" t="s">
        <v>191</v>
      </c>
      <c r="N7" s="334" t="s">
        <v>192</v>
      </c>
      <c r="O7" s="334" t="s">
        <v>193</v>
      </c>
      <c r="P7" s="334" t="s">
        <v>194</v>
      </c>
      <c r="Q7" s="334" t="s">
        <v>195</v>
      </c>
      <c r="R7" s="334" t="s">
        <v>196</v>
      </c>
      <c r="S7" s="334" t="s">
        <v>197</v>
      </c>
      <c r="T7" s="334" t="s">
        <v>198</v>
      </c>
      <c r="U7" s="334" t="s">
        <v>199</v>
      </c>
      <c r="V7" s="334" t="s">
        <v>200</v>
      </c>
      <c r="W7" s="341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408">
        <f>SUM('[50]Marzo-Exist'!$W$62:$AN$62,'[50]Marzo-Exist'!$D$58)</f>
        <v>125</v>
      </c>
      <c r="D8" s="247"/>
      <c r="E8" s="247"/>
      <c r="F8" s="409"/>
      <c r="G8" s="241">
        <f>Poblac!R5</f>
        <v>2789.6272016000003</v>
      </c>
      <c r="H8" s="199">
        <f>IF(G8=0,0,IF(G8&lt;=C8,1,+C8/G8))</f>
        <v>4.4808854720195523E-2</v>
      </c>
      <c r="I8" s="199">
        <f>'RESUMEN INDICADORES'!$F$11</f>
        <v>0.13600000000000001</v>
      </c>
      <c r="J8" s="230">
        <f t="shared" ref="J8:J14" si="0">IF(H8&gt;=I8,1,+H8/I8)</f>
        <v>0.32947687294261413</v>
      </c>
      <c r="K8" s="200">
        <f t="shared" ref="K8:K14" si="1">IF(H8&gt;=I8,12.5,((H8/I8)*12.5))</f>
        <v>4.1184609117826767</v>
      </c>
      <c r="M8" s="405">
        <f t="shared" ref="M8:M14" si="2">I8</f>
        <v>0.13600000000000001</v>
      </c>
      <c r="N8" s="405">
        <f>R8/P8</f>
        <v>4.4808854720195523E-2</v>
      </c>
      <c r="O8" s="405">
        <f>N8/M8</f>
        <v>0.32947687294261413</v>
      </c>
      <c r="P8" s="337">
        <f t="shared" ref="P8:P14" si="3">G8</f>
        <v>2789.6272016000003</v>
      </c>
      <c r="Q8" s="338">
        <f>P8*M8</f>
        <v>379.38929941760006</v>
      </c>
      <c r="R8" s="337">
        <f>C8</f>
        <v>125</v>
      </c>
      <c r="S8" s="337">
        <f t="shared" ref="S8:S14" si="4">G8</f>
        <v>2789.6272016000003</v>
      </c>
      <c r="T8" s="337">
        <f>S8*M8</f>
        <v>379.38929941760006</v>
      </c>
      <c r="U8" s="337">
        <f>C8</f>
        <v>125</v>
      </c>
      <c r="V8" s="339">
        <f t="shared" ref="V8:V16" si="5">IFERROR(U8/T8,0)</f>
        <v>0.32947687294261413</v>
      </c>
      <c r="W8" s="414">
        <f t="shared" ref="W8:W16" si="6">(T8-U8)*-1</f>
        <v>-254.38929941760006</v>
      </c>
    </row>
    <row r="9" spans="1:23" s="9" customFormat="1" ht="39.950000000000003" customHeight="1" thickBot="1" x14ac:dyDescent="0.35">
      <c r="A9" s="144"/>
      <c r="B9" s="222" t="s">
        <v>119</v>
      </c>
      <c r="C9" s="410">
        <f>SUM('[51]Marzo-Exist'!$W$62:$AN$62,'[51]Marzo-Exist'!$D$58)</f>
        <v>624</v>
      </c>
      <c r="D9" s="248"/>
      <c r="E9" s="248"/>
      <c r="F9" s="411"/>
      <c r="G9" s="242">
        <f>Poblac!R6</f>
        <v>3690.5200000000004</v>
      </c>
      <c r="H9" s="199">
        <f t="shared" ref="H9:H16" si="7">IF(G9=0,0,IF(G9&lt;=C9,1,+C9/G9))</f>
        <v>0.16908186380239096</v>
      </c>
      <c r="I9" s="199">
        <f>'RESUMEN INDICADORES'!$F$11</f>
        <v>0.13600000000000001</v>
      </c>
      <c r="J9" s="231">
        <f t="shared" si="0"/>
        <v>1</v>
      </c>
      <c r="K9" s="203">
        <f t="shared" si="1"/>
        <v>12.5</v>
      </c>
      <c r="M9" s="405">
        <f t="shared" si="2"/>
        <v>0.13600000000000001</v>
      </c>
      <c r="N9" s="405">
        <f t="shared" ref="N9:N14" si="8">R9/P9</f>
        <v>0.16908186380239096</v>
      </c>
      <c r="O9" s="405">
        <f t="shared" ref="O9:O14" si="9">N9/M9</f>
        <v>1.2432489985469923</v>
      </c>
      <c r="P9" s="337">
        <f t="shared" si="3"/>
        <v>3690.5200000000004</v>
      </c>
      <c r="Q9" s="338">
        <f t="shared" ref="Q9:Q14" si="10">P9*M9</f>
        <v>501.91072000000008</v>
      </c>
      <c r="R9" s="337">
        <f t="shared" ref="R9:R14" si="11">C9</f>
        <v>624</v>
      </c>
      <c r="S9" s="337">
        <f t="shared" si="4"/>
        <v>3690.5200000000004</v>
      </c>
      <c r="T9" s="337">
        <f t="shared" ref="T9:T16" si="12">S9*M9</f>
        <v>501.91072000000008</v>
      </c>
      <c r="U9" s="337">
        <f t="shared" ref="U9:U14" si="13">C9</f>
        <v>624</v>
      </c>
      <c r="V9" s="339">
        <f t="shared" si="5"/>
        <v>1.2432489985469923</v>
      </c>
      <c r="W9" s="414">
        <f t="shared" si="6"/>
        <v>122.08927999999992</v>
      </c>
    </row>
    <row r="10" spans="1:23" s="9" customFormat="1" ht="39.950000000000003" customHeight="1" thickBot="1" x14ac:dyDescent="0.35">
      <c r="A10" s="144"/>
      <c r="B10" s="222" t="s">
        <v>120</v>
      </c>
      <c r="C10" s="410">
        <f>SUM('[52]Marzo-Exist'!$W$62:$AN$62,'[52]Marzo-Exist'!$D$58)</f>
        <v>273</v>
      </c>
      <c r="D10" s="248"/>
      <c r="E10" s="248"/>
      <c r="F10" s="411"/>
      <c r="G10" s="242">
        <f>Poblac!R7</f>
        <v>2754.491</v>
      </c>
      <c r="H10" s="199">
        <f t="shared" si="7"/>
        <v>9.9110870211592636E-2</v>
      </c>
      <c r="I10" s="199">
        <f>'RESUMEN INDICADORES'!$F$11</f>
        <v>0.13600000000000001</v>
      </c>
      <c r="J10" s="231">
        <f t="shared" si="0"/>
        <v>0.72875639861465169</v>
      </c>
      <c r="K10" s="203">
        <f t="shared" si="1"/>
        <v>9.1094549826831468</v>
      </c>
      <c r="M10" s="405">
        <f t="shared" si="2"/>
        <v>0.13600000000000001</v>
      </c>
      <c r="N10" s="405">
        <f t="shared" si="8"/>
        <v>9.9110870211592636E-2</v>
      </c>
      <c r="O10" s="405">
        <f t="shared" si="9"/>
        <v>0.72875639861465169</v>
      </c>
      <c r="P10" s="337">
        <f t="shared" si="3"/>
        <v>2754.491</v>
      </c>
      <c r="Q10" s="338">
        <f t="shared" si="10"/>
        <v>374.61077600000004</v>
      </c>
      <c r="R10" s="337">
        <f t="shared" si="11"/>
        <v>273</v>
      </c>
      <c r="S10" s="337">
        <f t="shared" si="4"/>
        <v>2754.491</v>
      </c>
      <c r="T10" s="337">
        <f t="shared" si="12"/>
        <v>374.61077600000004</v>
      </c>
      <c r="U10" s="337">
        <f t="shared" si="13"/>
        <v>273</v>
      </c>
      <c r="V10" s="339">
        <f t="shared" si="5"/>
        <v>0.72875639861465158</v>
      </c>
      <c r="W10" s="414">
        <f t="shared" si="6"/>
        <v>-101.61077600000004</v>
      </c>
    </row>
    <row r="11" spans="1:23" s="9" customFormat="1" ht="39.950000000000003" customHeight="1" thickBot="1" x14ac:dyDescent="0.35">
      <c r="A11" s="144"/>
      <c r="B11" s="222" t="s">
        <v>118</v>
      </c>
      <c r="C11" s="410">
        <f>SUM('[53]Marzo-Exist'!$W$62:$AN$62,'[53]Marzo-Exist'!$D$58)</f>
        <v>837</v>
      </c>
      <c r="D11" s="248"/>
      <c r="E11" s="248"/>
      <c r="F11" s="411"/>
      <c r="G11" s="242">
        <f>Poblac!R8</f>
        <v>6315.6906120000003</v>
      </c>
      <c r="H11" s="199">
        <f t="shared" si="7"/>
        <v>0.13252707445954923</v>
      </c>
      <c r="I11" s="199">
        <f>'RESUMEN INDICADORES'!$F$11</f>
        <v>0.13600000000000001</v>
      </c>
      <c r="J11" s="231">
        <f t="shared" si="0"/>
        <v>0.97446378279080303</v>
      </c>
      <c r="K11" s="203">
        <f t="shared" si="1"/>
        <v>12.180797284885038</v>
      </c>
      <c r="M11" s="405">
        <f t="shared" si="2"/>
        <v>0.13600000000000001</v>
      </c>
      <c r="N11" s="405">
        <f t="shared" si="8"/>
        <v>0.13252707445954923</v>
      </c>
      <c r="O11" s="405">
        <f t="shared" si="9"/>
        <v>0.97446378279080303</v>
      </c>
      <c r="P11" s="337">
        <f t="shared" si="3"/>
        <v>6315.6906120000003</v>
      </c>
      <c r="Q11" s="338">
        <f t="shared" si="10"/>
        <v>858.9339232320001</v>
      </c>
      <c r="R11" s="337">
        <f t="shared" si="11"/>
        <v>837</v>
      </c>
      <c r="S11" s="337">
        <f t="shared" si="4"/>
        <v>6315.6906120000003</v>
      </c>
      <c r="T11" s="337">
        <f t="shared" si="12"/>
        <v>858.9339232320001</v>
      </c>
      <c r="U11" s="337">
        <f t="shared" si="13"/>
        <v>837</v>
      </c>
      <c r="V11" s="339">
        <f t="shared" si="5"/>
        <v>0.97446378279080303</v>
      </c>
      <c r="W11" s="414">
        <f t="shared" si="6"/>
        <v>-21.933923232000097</v>
      </c>
    </row>
    <row r="12" spans="1:23" s="9" customFormat="1" ht="39.950000000000003" customHeight="1" thickBot="1" x14ac:dyDescent="0.35">
      <c r="A12" s="144"/>
      <c r="B12" s="222" t="s">
        <v>122</v>
      </c>
      <c r="C12" s="410">
        <f>SUM('[54]Marzo-Exist'!$W$62:$AN$62,'[54]Marzo-Exist'!$D$58)</f>
        <v>439</v>
      </c>
      <c r="D12" s="248"/>
      <c r="E12" s="248"/>
      <c r="F12" s="411"/>
      <c r="G12" s="242">
        <f>Poblac!R9</f>
        <v>2724.8110000000001</v>
      </c>
      <c r="H12" s="199">
        <f t="shared" si="7"/>
        <v>0.16111209181113845</v>
      </c>
      <c r="I12" s="199">
        <f>'RESUMEN INDICADORES'!$F$11</f>
        <v>0.13600000000000001</v>
      </c>
      <c r="J12" s="231">
        <f t="shared" si="0"/>
        <v>1</v>
      </c>
      <c r="K12" s="203">
        <f t="shared" si="1"/>
        <v>12.5</v>
      </c>
      <c r="M12" s="405">
        <f t="shared" si="2"/>
        <v>0.13600000000000001</v>
      </c>
      <c r="N12" s="405">
        <f t="shared" si="8"/>
        <v>0.16111209181113845</v>
      </c>
      <c r="O12" s="405">
        <f t="shared" si="9"/>
        <v>1.1846477339054298</v>
      </c>
      <c r="P12" s="337">
        <f t="shared" si="3"/>
        <v>2724.8110000000001</v>
      </c>
      <c r="Q12" s="338">
        <f t="shared" si="10"/>
        <v>370.57429600000006</v>
      </c>
      <c r="R12" s="337">
        <f t="shared" si="11"/>
        <v>439</v>
      </c>
      <c r="S12" s="337">
        <f t="shared" si="4"/>
        <v>2724.8110000000001</v>
      </c>
      <c r="T12" s="337">
        <f t="shared" si="12"/>
        <v>370.57429600000006</v>
      </c>
      <c r="U12" s="337">
        <f t="shared" si="13"/>
        <v>439</v>
      </c>
      <c r="V12" s="339">
        <f t="shared" si="5"/>
        <v>1.1846477339054298</v>
      </c>
      <c r="W12" s="414">
        <f t="shared" si="6"/>
        <v>68.425703999999939</v>
      </c>
    </row>
    <row r="13" spans="1:23" s="9" customFormat="1" ht="39.950000000000003" customHeight="1" thickBot="1" x14ac:dyDescent="0.35">
      <c r="A13" s="144"/>
      <c r="B13" s="222" t="s">
        <v>123</v>
      </c>
      <c r="C13" s="410">
        <f>SUM('[55]Marzo-Exist'!$W$62:$AN$62,'[55]Marzo-Exist'!$D$58)</f>
        <v>131</v>
      </c>
      <c r="D13" s="248"/>
      <c r="E13" s="248"/>
      <c r="F13" s="411"/>
      <c r="G13" s="242">
        <f>Poblac!R10</f>
        <v>736.19079840000018</v>
      </c>
      <c r="H13" s="199">
        <f t="shared" si="7"/>
        <v>0.17794300103276048</v>
      </c>
      <c r="I13" s="199">
        <f>'RESUMEN INDICADORES'!$F$11</f>
        <v>0.13600000000000001</v>
      </c>
      <c r="J13" s="231">
        <f t="shared" si="0"/>
        <v>1</v>
      </c>
      <c r="K13" s="203">
        <f t="shared" si="1"/>
        <v>12.5</v>
      </c>
      <c r="M13" s="405">
        <f t="shared" si="2"/>
        <v>0.13600000000000001</v>
      </c>
      <c r="N13" s="405">
        <f t="shared" si="8"/>
        <v>0.17794300103276048</v>
      </c>
      <c r="O13" s="405">
        <f t="shared" si="9"/>
        <v>1.3084044193585329</v>
      </c>
      <c r="P13" s="337">
        <f t="shared" si="3"/>
        <v>736.19079840000018</v>
      </c>
      <c r="Q13" s="338">
        <f t="shared" si="10"/>
        <v>100.12194858240004</v>
      </c>
      <c r="R13" s="337">
        <f t="shared" si="11"/>
        <v>131</v>
      </c>
      <c r="S13" s="337">
        <f t="shared" si="4"/>
        <v>736.19079840000018</v>
      </c>
      <c r="T13" s="337">
        <f t="shared" si="12"/>
        <v>100.12194858240004</v>
      </c>
      <c r="U13" s="337">
        <f t="shared" si="13"/>
        <v>131</v>
      </c>
      <c r="V13" s="339">
        <f t="shared" si="5"/>
        <v>1.3084044193585329</v>
      </c>
      <c r="W13" s="414">
        <f t="shared" si="6"/>
        <v>30.878051417599963</v>
      </c>
    </row>
    <row r="14" spans="1:23" s="9" customFormat="1" ht="39.950000000000003" customHeight="1" thickBot="1" x14ac:dyDescent="0.35">
      <c r="A14" s="144"/>
      <c r="B14" s="223" t="s">
        <v>124</v>
      </c>
      <c r="C14" s="412">
        <f>SUM('[56]Marzo-Exist'!$W$62:$AN$62,'[56]Marzo-Exist'!$D$58)</f>
        <v>9</v>
      </c>
      <c r="D14" s="249"/>
      <c r="E14" s="249"/>
      <c r="F14" s="413"/>
      <c r="G14" s="243">
        <f>Poblac!R11</f>
        <v>83.185387999999989</v>
      </c>
      <c r="H14" s="352">
        <f t="shared" si="7"/>
        <v>0.10819207815680322</v>
      </c>
      <c r="I14" s="352">
        <f>'RESUMEN INDICADORES'!$F$11</f>
        <v>0.13600000000000001</v>
      </c>
      <c r="J14" s="232">
        <f t="shared" si="0"/>
        <v>0.79552998644708239</v>
      </c>
      <c r="K14" s="206">
        <f t="shared" si="1"/>
        <v>9.9441248305885299</v>
      </c>
      <c r="M14" s="405">
        <f t="shared" si="2"/>
        <v>0.13600000000000001</v>
      </c>
      <c r="N14" s="405">
        <f t="shared" si="8"/>
        <v>0.10819207815680322</v>
      </c>
      <c r="O14" s="405">
        <f t="shared" si="9"/>
        <v>0.79552998644708239</v>
      </c>
      <c r="P14" s="337">
        <f t="shared" si="3"/>
        <v>83.185387999999989</v>
      </c>
      <c r="Q14" s="338">
        <f t="shared" si="10"/>
        <v>11.313212768</v>
      </c>
      <c r="R14" s="337">
        <f t="shared" si="11"/>
        <v>9</v>
      </c>
      <c r="S14" s="337">
        <f t="shared" si="4"/>
        <v>83.185387999999989</v>
      </c>
      <c r="T14" s="337">
        <f t="shared" si="12"/>
        <v>11.313212768</v>
      </c>
      <c r="U14" s="337">
        <f t="shared" si="13"/>
        <v>9</v>
      </c>
      <c r="V14" s="339">
        <f t="shared" si="5"/>
        <v>0.7955299864470825</v>
      </c>
      <c r="W14" s="414">
        <f t="shared" si="6"/>
        <v>-2.3132127679999996</v>
      </c>
    </row>
    <row r="15" spans="1:23" s="9" customFormat="1" ht="18" thickBot="1" x14ac:dyDescent="0.3">
      <c r="T15" s="407"/>
    </row>
    <row r="16" spans="1:23" s="9" customFormat="1" ht="18" thickBot="1" x14ac:dyDescent="0.35">
      <c r="A16" s="144"/>
      <c r="B16" s="166" t="s">
        <v>126</v>
      </c>
      <c r="C16" s="176">
        <f>SUM(C8:C14)</f>
        <v>2438</v>
      </c>
      <c r="D16" s="176">
        <f t="shared" ref="D16:E16" si="14">SUM(D8:D14)</f>
        <v>0</v>
      </c>
      <c r="E16" s="176">
        <f t="shared" si="14"/>
        <v>0</v>
      </c>
      <c r="F16" s="176">
        <f>SUM(F8:F14)</f>
        <v>0</v>
      </c>
      <c r="G16" s="224">
        <f>SUM(G8:G14)</f>
        <v>19094.516000000003</v>
      </c>
      <c r="H16" s="352">
        <f t="shared" si="7"/>
        <v>0.1276806387760758</v>
      </c>
      <c r="I16" s="352">
        <f>'RESUMEN INDICADORES'!$F$11</f>
        <v>0.13600000000000001</v>
      </c>
      <c r="J16" s="19">
        <f>IF(H16&gt;=I16,1,+H16/I16)</f>
        <v>0.93882822629467488</v>
      </c>
      <c r="K16" s="55">
        <f>IF(H16&gt;=I16,12.5,((H16/I16)*12.5))</f>
        <v>11.735352828683435</v>
      </c>
      <c r="M16" s="405">
        <f>I16</f>
        <v>0.13600000000000001</v>
      </c>
      <c r="N16" s="405">
        <f t="shared" ref="N16" si="15">R16/P16</f>
        <v>0.1276806387760758</v>
      </c>
      <c r="O16" s="405">
        <f t="shared" ref="O16" si="16">N16/M16</f>
        <v>0.93882822629467488</v>
      </c>
      <c r="P16" s="337">
        <f>G16</f>
        <v>19094.516000000003</v>
      </c>
      <c r="Q16" s="338">
        <f t="shared" ref="Q16" si="17">P16*M16</f>
        <v>2596.8541760000007</v>
      </c>
      <c r="R16" s="337">
        <f>C16</f>
        <v>2438</v>
      </c>
      <c r="S16" s="337">
        <f>G16</f>
        <v>19094.516000000003</v>
      </c>
      <c r="T16" s="337">
        <f t="shared" si="12"/>
        <v>2596.8541760000007</v>
      </c>
      <c r="U16" s="337">
        <f>C16</f>
        <v>2438</v>
      </c>
      <c r="V16" s="339">
        <f t="shared" si="5"/>
        <v>0.93882822629467477</v>
      </c>
      <c r="W16" s="414">
        <f t="shared" si="6"/>
        <v>-158.85417600000073</v>
      </c>
    </row>
    <row r="17" spans="2:11" s="9" customFormat="1" x14ac:dyDescent="0.25"/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D2" sqref="D2:L2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492" t="s">
        <v>23</v>
      </c>
      <c r="E1" s="492"/>
      <c r="F1" s="492"/>
      <c r="G1" s="492"/>
      <c r="H1" s="492"/>
      <c r="I1" s="492"/>
      <c r="J1" s="492"/>
      <c r="K1" s="492"/>
      <c r="L1" s="492"/>
    </row>
    <row r="2" spans="2:23" ht="78" customHeight="1" thickBot="1" x14ac:dyDescent="0.45">
      <c r="B2" s="50"/>
      <c r="C2" s="50"/>
      <c r="D2" s="450" t="s">
        <v>66</v>
      </c>
      <c r="E2" s="451"/>
      <c r="F2" s="451"/>
      <c r="G2" s="451"/>
      <c r="H2" s="451"/>
      <c r="I2" s="451"/>
      <c r="J2" s="451"/>
      <c r="K2" s="451"/>
      <c r="L2" s="452"/>
      <c r="M2" s="46"/>
      <c r="N2" s="46"/>
      <c r="O2" s="46"/>
      <c r="P2" s="46"/>
      <c r="Q2" s="46"/>
      <c r="R2" s="46"/>
    </row>
    <row r="3" spans="2:23" ht="18.75" customHeight="1" x14ac:dyDescent="0.35">
      <c r="C3" s="484" t="s">
        <v>117</v>
      </c>
      <c r="D3" s="484" t="s">
        <v>110</v>
      </c>
      <c r="E3" s="523" t="s">
        <v>67</v>
      </c>
      <c r="F3" s="572"/>
      <c r="G3" s="572"/>
      <c r="H3" s="472"/>
      <c r="I3" s="514" t="s">
        <v>11</v>
      </c>
      <c r="J3" s="515"/>
      <c r="K3" s="515"/>
      <c r="L3" s="516"/>
      <c r="M3" s="47"/>
      <c r="N3" s="47"/>
      <c r="O3" s="47"/>
      <c r="P3" s="47"/>
      <c r="Q3" s="47"/>
      <c r="R3" s="47"/>
    </row>
    <row r="4" spans="2:23" ht="49.5" customHeight="1" thickBot="1" x14ac:dyDescent="0.4">
      <c r="C4" s="485"/>
      <c r="D4" s="485"/>
      <c r="E4" s="526"/>
      <c r="F4" s="527"/>
      <c r="G4" s="527"/>
      <c r="H4" s="528"/>
      <c r="I4" s="517"/>
      <c r="J4" s="518"/>
      <c r="K4" s="518"/>
      <c r="L4" s="519"/>
      <c r="O4" s="71" t="s">
        <v>68</v>
      </c>
      <c r="P4" s="72" t="s">
        <v>69</v>
      </c>
      <c r="Q4" s="47"/>
      <c r="R4" s="47"/>
    </row>
    <row r="5" spans="2:23" ht="21.75" thickBot="1" x14ac:dyDescent="0.4">
      <c r="C5" s="485"/>
      <c r="D5" s="485"/>
      <c r="E5" s="534" t="s">
        <v>46</v>
      </c>
      <c r="F5" s="535"/>
      <c r="G5" s="535"/>
      <c r="H5" s="545"/>
      <c r="I5" s="520"/>
      <c r="J5" s="521"/>
      <c r="K5" s="521"/>
      <c r="L5" s="522"/>
      <c r="P5" s="47"/>
      <c r="Q5" s="47"/>
      <c r="R5" s="47"/>
    </row>
    <row r="6" spans="2:23" s="9" customFormat="1" ht="39" customHeight="1" thickBot="1" x14ac:dyDescent="0.3">
      <c r="C6" s="485"/>
      <c r="D6" s="485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8" t="s">
        <v>68</v>
      </c>
      <c r="I7" s="267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9" t="s">
        <v>68</v>
      </c>
      <c r="F8" s="30" t="s">
        <v>68</v>
      </c>
      <c r="G8" s="30" t="s">
        <v>68</v>
      </c>
      <c r="H8" s="270" t="s">
        <v>68</v>
      </c>
      <c r="I8" s="267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9" t="s">
        <v>68</v>
      </c>
      <c r="F9" s="30" t="s">
        <v>68</v>
      </c>
      <c r="G9" s="30" t="s">
        <v>68</v>
      </c>
      <c r="H9" s="270" t="s">
        <v>68</v>
      </c>
      <c r="I9" s="267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9" t="s">
        <v>68</v>
      </c>
      <c r="F10" s="30" t="s">
        <v>68</v>
      </c>
      <c r="G10" s="30" t="s">
        <v>68</v>
      </c>
      <c r="H10" s="270" t="s">
        <v>68</v>
      </c>
      <c r="I10" s="267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9" t="s">
        <v>68</v>
      </c>
      <c r="F11" s="30" t="s">
        <v>68</v>
      </c>
      <c r="G11" s="30" t="s">
        <v>68</v>
      </c>
      <c r="H11" s="270" t="s">
        <v>68</v>
      </c>
      <c r="I11" s="267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9" t="s">
        <v>68</v>
      </c>
      <c r="F12" s="30" t="s">
        <v>68</v>
      </c>
      <c r="G12" s="30" t="s">
        <v>68</v>
      </c>
      <c r="H12" s="270" t="s">
        <v>68</v>
      </c>
      <c r="I12" s="267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71" t="s">
        <v>68</v>
      </c>
      <c r="F13" s="272" t="s">
        <v>68</v>
      </c>
      <c r="G13" s="272" t="s">
        <v>68</v>
      </c>
      <c r="H13" s="273" t="s">
        <v>68</v>
      </c>
      <c r="I13" s="267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tabSelected="1" zoomScale="70" zoomScaleNormal="70" workbookViewId="0">
      <selection activeCell="M15" sqref="M15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573" t="s">
        <v>70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O2" s="77"/>
    </row>
    <row r="3" spans="1:15" s="76" customFormat="1" ht="33.75" customHeight="1" thickBot="1" x14ac:dyDescent="0.5"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O3" s="77"/>
    </row>
    <row r="4" spans="1:15" s="79" customFormat="1" ht="21.75" customHeight="1" thickBot="1" x14ac:dyDescent="0.35">
      <c r="A4" s="78"/>
      <c r="B4" s="574" t="s">
        <v>110</v>
      </c>
      <c r="C4" s="576" t="s">
        <v>71</v>
      </c>
      <c r="D4" s="577"/>
      <c r="E4" s="577"/>
      <c r="F4" s="577"/>
      <c r="G4" s="577"/>
      <c r="H4" s="577"/>
      <c r="I4" s="577"/>
      <c r="J4" s="577"/>
      <c r="K4" s="578"/>
      <c r="L4" s="578"/>
      <c r="M4" s="579" t="s">
        <v>72</v>
      </c>
      <c r="O4" s="80"/>
    </row>
    <row r="5" spans="1:15" s="79" customFormat="1" ht="30.75" customHeight="1" thickBot="1" x14ac:dyDescent="0.35">
      <c r="A5" s="78"/>
      <c r="B5" s="575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580"/>
      <c r="O5" s="80"/>
    </row>
    <row r="6" spans="1:15" s="79" customFormat="1" ht="76.5" customHeight="1" thickBot="1" x14ac:dyDescent="0.35">
      <c r="A6" s="78"/>
      <c r="B6" s="575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2">
        <f>+Meta4B!J8</f>
        <v>1</v>
      </c>
      <c r="I7" s="213">
        <f>+Meta5!J8</f>
        <v>1</v>
      </c>
      <c r="J7" s="212">
        <f>+Meta6!AE8</f>
        <v>1</v>
      </c>
      <c r="K7" s="315">
        <f>+Meta7!J8</f>
        <v>0.32947687294261413</v>
      </c>
      <c r="L7" s="312">
        <f>Meta8!K7</f>
        <v>1</v>
      </c>
      <c r="M7" s="318">
        <f>AVERAGE(C7:L7)</f>
        <v>0.93294768729426136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0.53191489361702127</v>
      </c>
      <c r="D8" s="188">
        <f>+Meta2!J9</f>
        <v>0.88114217316057508</v>
      </c>
      <c r="E8" s="189">
        <f>+Meta3A!T9</f>
        <v>1</v>
      </c>
      <c r="F8" s="188">
        <f>+Meta3B!T9</f>
        <v>0.80963465236312115</v>
      </c>
      <c r="G8" s="189">
        <f>+Meta4A!J9</f>
        <v>0.94625172847071981</v>
      </c>
      <c r="H8" s="313">
        <f>+Meta4B!J9</f>
        <v>0.92815170940170932</v>
      </c>
      <c r="I8" s="189">
        <f>+Meta5!J9</f>
        <v>0.96839308631030829</v>
      </c>
      <c r="J8" s="188">
        <f>+Meta6!AE9</f>
        <v>1</v>
      </c>
      <c r="K8" s="316">
        <f>+Meta7!J9</f>
        <v>1</v>
      </c>
      <c r="L8" s="313">
        <f>Meta8!K8</f>
        <v>1</v>
      </c>
      <c r="M8" s="319">
        <f t="shared" ref="M8:M13" si="0">AVERAGE(C8:L8)</f>
        <v>0.9065488243323454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0.51145662847790507</v>
      </c>
      <c r="D9" s="188">
        <f>+Meta2!J10</f>
        <v>0.86237281867708204</v>
      </c>
      <c r="E9" s="189">
        <f>+Meta3A!T10</f>
        <v>0.78073084054650743</v>
      </c>
      <c r="F9" s="188">
        <f>+Meta3B!T10</f>
        <v>0.53022269353128315</v>
      </c>
      <c r="G9" s="189">
        <f>+Meta4A!J10</f>
        <v>0.83869810547240364</v>
      </c>
      <c r="H9" s="313">
        <f>+Meta4B!J10</f>
        <v>1</v>
      </c>
      <c r="I9" s="189">
        <f>+Meta5!J10</f>
        <v>1</v>
      </c>
      <c r="J9" s="188">
        <f>+Meta6!AE10</f>
        <v>1</v>
      </c>
      <c r="K9" s="316">
        <f>+Meta7!J10</f>
        <v>0.72875639861465169</v>
      </c>
      <c r="L9" s="313">
        <f>Meta8!K9</f>
        <v>1</v>
      </c>
      <c r="M9" s="319">
        <f t="shared" si="0"/>
        <v>0.82522374853198333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1</v>
      </c>
      <c r="D10" s="188">
        <f>+Meta2!J11</f>
        <v>0.65813256535117604</v>
      </c>
      <c r="E10" s="189">
        <f>+Meta3A!T11</f>
        <v>1</v>
      </c>
      <c r="F10" s="188">
        <f>+Meta3B!T11</f>
        <v>1</v>
      </c>
      <c r="G10" s="189">
        <f>+Meta4A!J11</f>
        <v>0.8965034954919423</v>
      </c>
      <c r="H10" s="313">
        <f>+Meta4B!J11</f>
        <v>1</v>
      </c>
      <c r="I10" s="189">
        <f>+Meta5!J11</f>
        <v>0.81084870884861282</v>
      </c>
      <c r="J10" s="188">
        <f>+Meta6!AE11</f>
        <v>1</v>
      </c>
      <c r="K10" s="316">
        <f>+Meta7!J11</f>
        <v>0.97446378279080303</v>
      </c>
      <c r="L10" s="313">
        <f>Meta8!K10</f>
        <v>1</v>
      </c>
      <c r="M10" s="319">
        <f t="shared" si="0"/>
        <v>0.93399485524825343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1</v>
      </c>
      <c r="D11" s="188">
        <f>+Meta2!J12</f>
        <v>0.45916072041696349</v>
      </c>
      <c r="E11" s="189">
        <f>+Meta3A!T12</f>
        <v>0.99598567840920649</v>
      </c>
      <c r="F11" s="188">
        <f>+Meta3B!T12</f>
        <v>1</v>
      </c>
      <c r="G11" s="189">
        <f>+Meta4A!J12</f>
        <v>0.60704574897737684</v>
      </c>
      <c r="H11" s="313">
        <f>+Meta4B!J12</f>
        <v>0.82037996545768554</v>
      </c>
      <c r="I11" s="189">
        <f>+Meta5!J12</f>
        <v>0.65867930708699163</v>
      </c>
      <c r="J11" s="188">
        <f>+Meta6!AE12</f>
        <v>0.84375</v>
      </c>
      <c r="K11" s="316">
        <f>+Meta7!J12</f>
        <v>1</v>
      </c>
      <c r="L11" s="313">
        <f>Meta8!K11</f>
        <v>1</v>
      </c>
      <c r="M11" s="319">
        <f t="shared" si="0"/>
        <v>0.83850014203482248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0.18996960486322187</v>
      </c>
      <c r="D12" s="188">
        <f>+Meta2!J13</f>
        <v>0.99990223187780169</v>
      </c>
      <c r="E12" s="189">
        <f>+Meta3A!T13</f>
        <v>1</v>
      </c>
      <c r="F12" s="188">
        <f>+Meta3B!T13</f>
        <v>1</v>
      </c>
      <c r="G12" s="189">
        <f>+Meta4A!J13</f>
        <v>1</v>
      </c>
      <c r="H12" s="313">
        <f>+Meta4B!J13</f>
        <v>0.90982286634460541</v>
      </c>
      <c r="I12" s="189">
        <f>+Meta5!J13</f>
        <v>0.94026484191445048</v>
      </c>
      <c r="J12" s="188">
        <f>+Meta6!AE13</f>
        <v>0.967741935483871</v>
      </c>
      <c r="K12" s="316">
        <f>+Meta7!J13</f>
        <v>1</v>
      </c>
      <c r="L12" s="313">
        <f>Meta8!K12</f>
        <v>1</v>
      </c>
      <c r="M12" s="319">
        <f t="shared" si="0"/>
        <v>0.90077014804839484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1</v>
      </c>
      <c r="D13" s="215">
        <f>+Meta2!J14</f>
        <v>1</v>
      </c>
      <c r="E13" s="216">
        <f>+Meta3A!T14</f>
        <v>1</v>
      </c>
      <c r="F13" s="215">
        <f>+Meta3B!T14</f>
        <v>1</v>
      </c>
      <c r="G13" s="216">
        <f>+Meta4A!J14</f>
        <v>1</v>
      </c>
      <c r="H13" s="314">
        <f>+Meta4B!J14</f>
        <v>1</v>
      </c>
      <c r="I13" s="216">
        <f>+Meta5!J14</f>
        <v>1</v>
      </c>
      <c r="J13" s="215">
        <f>+Meta6!AE14</f>
        <v>0</v>
      </c>
      <c r="K13" s="317">
        <f>+Meta7!J14</f>
        <v>0.79552998644708239</v>
      </c>
      <c r="L13" s="314">
        <f>Meta8!K13</f>
        <v>1</v>
      </c>
      <c r="M13" s="320">
        <f t="shared" si="0"/>
        <v>0.87955299864470826</v>
      </c>
      <c r="O13" s="80"/>
    </row>
    <row r="14" spans="1:15" s="79" customFormat="1" ht="19.5" thickBot="1" x14ac:dyDescent="0.35">
      <c r="A14" s="78"/>
      <c r="B14" s="264"/>
      <c r="C14" s="189"/>
      <c r="D14" s="189"/>
      <c r="E14" s="189"/>
      <c r="F14" s="189"/>
      <c r="G14" s="189"/>
      <c r="H14" s="265"/>
      <c r="I14" s="189"/>
      <c r="J14" s="189"/>
      <c r="K14" s="265"/>
      <c r="L14" s="265"/>
      <c r="M14" s="266"/>
      <c r="O14" s="80"/>
    </row>
    <row r="15" spans="1:15" s="79" customFormat="1" ht="19.5" thickBot="1" x14ac:dyDescent="0.35">
      <c r="A15" s="78"/>
      <c r="B15" s="308" t="s">
        <v>126</v>
      </c>
      <c r="C15" s="309">
        <f>AVERAGE(C7:C13)</f>
        <v>0.74762016099402118</v>
      </c>
      <c r="D15" s="310">
        <f t="shared" ref="D15:M15" si="1">AVERAGE(D7:D13)</f>
        <v>0.83724435849765688</v>
      </c>
      <c r="E15" s="310">
        <f t="shared" si="1"/>
        <v>0.96810235985081616</v>
      </c>
      <c r="F15" s="310">
        <f t="shared" si="1"/>
        <v>0.90569390655634352</v>
      </c>
      <c r="G15" s="310">
        <f t="shared" si="1"/>
        <v>0.89835701120177747</v>
      </c>
      <c r="H15" s="310">
        <f t="shared" si="1"/>
        <v>0.95119350588628571</v>
      </c>
      <c r="I15" s="310">
        <f t="shared" si="1"/>
        <v>0.91116942059433748</v>
      </c>
      <c r="J15" s="310">
        <f t="shared" si="1"/>
        <v>0.83021313364055305</v>
      </c>
      <c r="K15" s="310">
        <f t="shared" si="1"/>
        <v>0.83260386297073585</v>
      </c>
      <c r="L15" s="311">
        <f t="shared" si="1"/>
        <v>1</v>
      </c>
      <c r="M15" s="311">
        <f t="shared" si="1"/>
        <v>0.88821977201925273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60">
        <f>+[57]Meta1!AF19</f>
        <v>0.96567166776563207</v>
      </c>
      <c r="D18" s="261">
        <f>+[57]Meta2!J19</f>
        <v>1</v>
      </c>
      <c r="E18" s="262">
        <f>+[57]Meta3A!T19</f>
        <v>0.9779411764705882</v>
      </c>
      <c r="F18" s="261">
        <f>+[57]Meta3B!T19</f>
        <v>1</v>
      </c>
      <c r="G18" s="262">
        <f>+[57]Meta4A!J19</f>
        <v>1</v>
      </c>
      <c r="H18" s="261">
        <f>+[57]Meta4B!J19</f>
        <v>0.96449143067408261</v>
      </c>
      <c r="I18" s="262">
        <f>+[57]Meta5!J19</f>
        <v>1</v>
      </c>
      <c r="J18" s="261">
        <f>+[57]Meta6!AE19</f>
        <v>0.86326186032930885</v>
      </c>
      <c r="K18" s="263">
        <f>+[57]Meta7!J19</f>
        <v>1</v>
      </c>
      <c r="L18" s="263">
        <f>+[57]Meta8!K19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B3" sqref="B3:M3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573" t="s">
        <v>70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2:13" s="88" customFormat="1" ht="21.75" customHeight="1" thickBot="1" x14ac:dyDescent="0.5"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</row>
    <row r="4" spans="2:13" s="89" customFormat="1" ht="21.75" customHeight="1" thickBot="1" x14ac:dyDescent="0.35">
      <c r="B4" s="581" t="s">
        <v>16</v>
      </c>
      <c r="C4" s="583" t="s">
        <v>71</v>
      </c>
      <c r="D4" s="584"/>
      <c r="E4" s="584"/>
      <c r="F4" s="584"/>
      <c r="G4" s="584"/>
      <c r="H4" s="584"/>
      <c r="I4" s="584"/>
      <c r="J4" s="584"/>
      <c r="K4" s="585"/>
      <c r="L4" s="585"/>
      <c r="M4" s="586" t="s">
        <v>72</v>
      </c>
    </row>
    <row r="5" spans="2:13" s="89" customFormat="1" ht="27.75" customHeight="1" thickBot="1" x14ac:dyDescent="0.35">
      <c r="B5" s="582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587"/>
    </row>
    <row r="6" spans="2:13" s="89" customFormat="1" ht="84" customHeight="1" thickBot="1" x14ac:dyDescent="0.35">
      <c r="B6" s="582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90" t="s">
        <v>92</v>
      </c>
    </row>
    <row r="7" spans="2:13" s="89" customFormat="1" x14ac:dyDescent="0.3">
      <c r="B7" s="191" t="s">
        <v>121</v>
      </c>
      <c r="C7" s="274">
        <f>+Meta1!AG8</f>
        <v>12.5</v>
      </c>
      <c r="D7" s="275">
        <f>+Meta2!K8</f>
        <v>6.8003762289295677</v>
      </c>
      <c r="E7" s="276">
        <f>+Meta3A!U8</f>
        <v>6.25</v>
      </c>
      <c r="F7" s="275">
        <f>+Meta3B!U8</f>
        <v>6.25</v>
      </c>
      <c r="G7" s="276">
        <f>+Meta4A!K8</f>
        <v>6.25</v>
      </c>
      <c r="H7" s="275">
        <f>+Meta4B!K8</f>
        <v>6.25</v>
      </c>
      <c r="I7" s="276">
        <f>+Meta5!K8</f>
        <v>12.5</v>
      </c>
      <c r="J7" s="275">
        <f>+Meta6!AF8</f>
        <v>12.5</v>
      </c>
      <c r="K7" s="277">
        <f>+Meta7!K8</f>
        <v>4.1184609117826767</v>
      </c>
      <c r="L7" s="278">
        <f>Meta8!L7</f>
        <v>12.5</v>
      </c>
      <c r="M7" s="289">
        <f t="shared" ref="M7:M13" si="0">SUM(C7:L7)</f>
        <v>85.918837140712242</v>
      </c>
    </row>
    <row r="8" spans="2:13" s="89" customFormat="1" x14ac:dyDescent="0.3">
      <c r="B8" s="192" t="s">
        <v>119</v>
      </c>
      <c r="C8" s="279">
        <f>+Meta1!AG9</f>
        <v>6.6489361702127656</v>
      </c>
      <c r="D8" s="280">
        <f>+Meta2!K9</f>
        <v>4.9992953776775648</v>
      </c>
      <c r="E8" s="281">
        <f>+Meta3A!U9</f>
        <v>6.25</v>
      </c>
      <c r="F8" s="280">
        <f>+Meta3B!U9</f>
        <v>5.0602165772695074</v>
      </c>
      <c r="G8" s="281">
        <f>+Meta4A!K9</f>
        <v>5.9140733029419987</v>
      </c>
      <c r="H8" s="280">
        <f>+Meta4B!K9</f>
        <v>5.8009481837606831</v>
      </c>
      <c r="I8" s="281">
        <f>+Meta5!K9</f>
        <v>12.104913578878854</v>
      </c>
      <c r="J8" s="280">
        <f>+Meta6!AF9</f>
        <v>12.5</v>
      </c>
      <c r="K8" s="282">
        <f>+Meta7!K9</f>
        <v>12.5</v>
      </c>
      <c r="L8" s="283">
        <f>Meta8!L8</f>
        <v>12.5</v>
      </c>
      <c r="M8" s="92">
        <f t="shared" si="0"/>
        <v>84.278383190741366</v>
      </c>
    </row>
    <row r="9" spans="2:13" s="89" customFormat="1" x14ac:dyDescent="0.3">
      <c r="B9" s="192" t="s">
        <v>120</v>
      </c>
      <c r="C9" s="279">
        <f>+Meta1!AG10</f>
        <v>6.393207855973813</v>
      </c>
      <c r="D9" s="280">
        <f>+Meta2!K10</f>
        <v>4.8928045638571955</v>
      </c>
      <c r="E9" s="281">
        <f>+Meta3A!U10</f>
        <v>4.8795677534156718</v>
      </c>
      <c r="F9" s="280">
        <f>+Meta3B!U10</f>
        <v>3.3138918345705197</v>
      </c>
      <c r="G9" s="281">
        <f>+Meta4A!K10</f>
        <v>5.2418631592025227</v>
      </c>
      <c r="H9" s="280">
        <f>+Meta4B!K10</f>
        <v>6.25</v>
      </c>
      <c r="I9" s="281">
        <f>+Meta5!K10</f>
        <v>12.5</v>
      </c>
      <c r="J9" s="280">
        <f>+Meta6!AF10</f>
        <v>12.5</v>
      </c>
      <c r="K9" s="282">
        <f>+Meta7!K10</f>
        <v>9.1094549826831468</v>
      </c>
      <c r="L9" s="283">
        <f>Meta8!L9</f>
        <v>12.5</v>
      </c>
      <c r="M9" s="92">
        <f t="shared" si="0"/>
        <v>77.580790149702864</v>
      </c>
    </row>
    <row r="10" spans="2:13" s="89" customFormat="1" x14ac:dyDescent="0.3">
      <c r="B10" s="192" t="s">
        <v>118</v>
      </c>
      <c r="C10" s="279">
        <f>+Meta1!AG11</f>
        <v>12.5</v>
      </c>
      <c r="D10" s="280">
        <f>+Meta2!K11</f>
        <v>3.7340161350552252</v>
      </c>
      <c r="E10" s="281">
        <f>+Meta3A!U11</f>
        <v>6.25</v>
      </c>
      <c r="F10" s="280">
        <f>+Meta3B!U11</f>
        <v>6.25</v>
      </c>
      <c r="G10" s="281">
        <f>+Meta4A!K11</f>
        <v>5.6031468468246395</v>
      </c>
      <c r="H10" s="280">
        <f>+Meta4B!K11</f>
        <v>6.25</v>
      </c>
      <c r="I10" s="281">
        <f>+Meta5!K11</f>
        <v>10.135608860607661</v>
      </c>
      <c r="J10" s="280">
        <f>+Meta6!AF11</f>
        <v>12.5</v>
      </c>
      <c r="K10" s="282">
        <f>+Meta7!K11</f>
        <v>12.180797284885038</v>
      </c>
      <c r="L10" s="283">
        <f>Meta8!L10</f>
        <v>12.5</v>
      </c>
      <c r="M10" s="92">
        <f t="shared" si="0"/>
        <v>87.903569127372563</v>
      </c>
    </row>
    <row r="11" spans="2:13" s="89" customFormat="1" ht="34.5" x14ac:dyDescent="0.3">
      <c r="B11" s="192" t="s">
        <v>122</v>
      </c>
      <c r="C11" s="279">
        <f>+Meta1!AG12</f>
        <v>12.5</v>
      </c>
      <c r="D11" s="280">
        <f>+Meta2!K12</f>
        <v>2.6051188299817185</v>
      </c>
      <c r="E11" s="281">
        <f>+Meta3A!U12</f>
        <v>6.2249104900575407</v>
      </c>
      <c r="F11" s="280">
        <f>+Meta3B!U12</f>
        <v>6.25</v>
      </c>
      <c r="G11" s="281">
        <f>+Meta4A!K12</f>
        <v>3.7940359311086054</v>
      </c>
      <c r="H11" s="280">
        <f>+Meta4B!K12</f>
        <v>5.1273747841105344</v>
      </c>
      <c r="I11" s="281">
        <f>+Meta5!K12</f>
        <v>8.2334913385873953</v>
      </c>
      <c r="J11" s="280">
        <f>+Meta6!AF12</f>
        <v>10.546875</v>
      </c>
      <c r="K11" s="282">
        <f>+Meta7!K12</f>
        <v>12.5</v>
      </c>
      <c r="L11" s="283">
        <f>Meta8!L11</f>
        <v>12.5</v>
      </c>
      <c r="M11" s="92">
        <f t="shared" si="0"/>
        <v>80.281806373845797</v>
      </c>
    </row>
    <row r="12" spans="2:13" s="89" customFormat="1" ht="34.5" x14ac:dyDescent="0.3">
      <c r="B12" s="192" t="s">
        <v>123</v>
      </c>
      <c r="C12" s="279">
        <f>+Meta1!AG13</f>
        <v>2.3746200607902734</v>
      </c>
      <c r="D12" s="280">
        <f>+Meta2!K13</f>
        <v>5.6730988008733254</v>
      </c>
      <c r="E12" s="281">
        <f>+Meta3A!U13</f>
        <v>6.25</v>
      </c>
      <c r="F12" s="280">
        <f>+Meta3B!U13</f>
        <v>6.25</v>
      </c>
      <c r="G12" s="281">
        <f>+Meta4A!K13</f>
        <v>6.25</v>
      </c>
      <c r="H12" s="280">
        <f>+Meta4B!K13</f>
        <v>5.6863929146537835</v>
      </c>
      <c r="I12" s="281">
        <f>+Meta5!K13</f>
        <v>11.753310523930631</v>
      </c>
      <c r="J12" s="280">
        <f>+Meta6!AF13</f>
        <v>12.096774193548388</v>
      </c>
      <c r="K12" s="282">
        <f>+Meta7!K13</f>
        <v>12.5</v>
      </c>
      <c r="L12" s="283">
        <f>Meta8!L12</f>
        <v>12.5</v>
      </c>
      <c r="M12" s="92">
        <f t="shared" si="0"/>
        <v>81.334196493796398</v>
      </c>
    </row>
    <row r="13" spans="2:13" s="89" customFormat="1" ht="19.5" thickBot="1" x14ac:dyDescent="0.35">
      <c r="B13" s="193" t="s">
        <v>124</v>
      </c>
      <c r="C13" s="284">
        <f>+Meta1!AG14</f>
        <v>12.5</v>
      </c>
      <c r="D13" s="285">
        <f>+Meta2!K14</f>
        <v>6.0985526101805174</v>
      </c>
      <c r="E13" s="286">
        <f>+Meta3A!U14</f>
        <v>6.25</v>
      </c>
      <c r="F13" s="285">
        <f>+Meta3B!U14</f>
        <v>6.25</v>
      </c>
      <c r="G13" s="286">
        <f>+Meta4A!K14</f>
        <v>6.25</v>
      </c>
      <c r="H13" s="285">
        <f>+Meta4B!K14</f>
        <v>6.25</v>
      </c>
      <c r="I13" s="286">
        <f>+Meta5!K14</f>
        <v>12.5</v>
      </c>
      <c r="J13" s="285">
        <f>+Meta6!AF14</f>
        <v>0</v>
      </c>
      <c r="K13" s="287">
        <f>+Meta7!K14</f>
        <v>9.9441248305885299</v>
      </c>
      <c r="L13" s="288">
        <f>Meta8!L13</f>
        <v>12.5</v>
      </c>
      <c r="M13" s="291">
        <f t="shared" si="0"/>
        <v>78.542677440769054</v>
      </c>
    </row>
    <row r="14" spans="2:13" s="89" customFormat="1" ht="19.5" thickBot="1" x14ac:dyDescent="0.35">
      <c r="B14" s="166" t="s">
        <v>126</v>
      </c>
      <c r="C14" s="293">
        <f>AVERAGE(C7:C13)</f>
        <v>9.3452520124252647</v>
      </c>
      <c r="D14" s="294">
        <f t="shared" ref="D14:L14" si="1">AVERAGE(D7:D13)</f>
        <v>4.971894649507874</v>
      </c>
      <c r="E14" s="295">
        <f t="shared" si="1"/>
        <v>6.0506397490676012</v>
      </c>
      <c r="F14" s="294">
        <f t="shared" si="1"/>
        <v>5.6605869159771469</v>
      </c>
      <c r="G14" s="295">
        <f t="shared" si="1"/>
        <v>5.6147313200111091</v>
      </c>
      <c r="H14" s="294">
        <f t="shared" si="1"/>
        <v>5.9449594117892861</v>
      </c>
      <c r="I14" s="295">
        <f t="shared" si="1"/>
        <v>11.389617757429221</v>
      </c>
      <c r="J14" s="294">
        <f t="shared" si="1"/>
        <v>10.377664170506913</v>
      </c>
      <c r="K14" s="296">
        <f t="shared" si="1"/>
        <v>10.407548287134199</v>
      </c>
      <c r="L14" s="297">
        <f t="shared" si="1"/>
        <v>12.5</v>
      </c>
      <c r="M14" s="292">
        <f>AVERAGE(M7:M13)</f>
        <v>82.262894273848602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R24"/>
  <sheetViews>
    <sheetView topLeftCell="B1" zoomScale="90" zoomScaleNormal="90" workbookViewId="0">
      <selection activeCell="H18" sqref="H18:H24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588" t="s">
        <v>341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P1" s="399" t="s">
        <v>348</v>
      </c>
      <c r="Q1" s="401" t="s">
        <v>346</v>
      </c>
      <c r="R1" s="400" t="s">
        <v>347</v>
      </c>
    </row>
    <row r="2" spans="2:18" s="93" customFormat="1" ht="12.75" customHeight="1" x14ac:dyDescent="0.35"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P2" s="590" t="s">
        <v>93</v>
      </c>
      <c r="Q2" s="590" t="s">
        <v>94</v>
      </c>
      <c r="R2" s="590" t="s">
        <v>95</v>
      </c>
    </row>
    <row r="3" spans="2:18" ht="3" customHeight="1" x14ac:dyDescent="0.25">
      <c r="M3" s="96"/>
      <c r="O3" s="94" t="s">
        <v>96</v>
      </c>
      <c r="P3" s="591"/>
      <c r="Q3" s="591"/>
      <c r="R3" s="591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591"/>
      <c r="Q4" s="591"/>
      <c r="R4" s="591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N15" s="95"/>
      <c r="P15" s="109">
        <f>SUM(J15:M15)</f>
        <v>0</v>
      </c>
      <c r="Q15" s="106">
        <f>SUM(J16:M16)</f>
        <v>0</v>
      </c>
    </row>
    <row r="16" spans="2:18" x14ac:dyDescent="0.25">
      <c r="N16" s="95"/>
      <c r="P16" s="111"/>
    </row>
    <row r="18" spans="2:8" ht="15.75" x14ac:dyDescent="0.25">
      <c r="B18" s="94" t="s">
        <v>361</v>
      </c>
      <c r="E18" s="103" t="s">
        <v>121</v>
      </c>
      <c r="H18" s="95">
        <v>269</v>
      </c>
    </row>
    <row r="19" spans="2:8" ht="15.75" x14ac:dyDescent="0.25">
      <c r="E19" s="103" t="s">
        <v>119</v>
      </c>
      <c r="H19" s="95">
        <v>241</v>
      </c>
    </row>
    <row r="20" spans="2:8" ht="15.75" x14ac:dyDescent="0.25">
      <c r="E20" s="103" t="s">
        <v>120</v>
      </c>
      <c r="H20" s="95">
        <v>207</v>
      </c>
    </row>
    <row r="21" spans="2:8" ht="15.75" x14ac:dyDescent="0.25">
      <c r="E21" s="103" t="s">
        <v>118</v>
      </c>
      <c r="H21" s="95">
        <v>223</v>
      </c>
    </row>
    <row r="22" spans="2:8" ht="15.75" x14ac:dyDescent="0.25">
      <c r="E22" s="103" t="s">
        <v>122</v>
      </c>
      <c r="H22" s="95">
        <v>154</v>
      </c>
    </row>
    <row r="23" spans="2:8" ht="15.75" x14ac:dyDescent="0.25">
      <c r="E23" s="103" t="s">
        <v>123</v>
      </c>
      <c r="H23" s="95">
        <v>13</v>
      </c>
    </row>
    <row r="24" spans="2:8" ht="15.75" x14ac:dyDescent="0.25">
      <c r="E24" s="103" t="s">
        <v>124</v>
      </c>
      <c r="H24" s="95">
        <v>2</v>
      </c>
    </row>
  </sheetData>
  <mergeCells count="5"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U142" sqref="U142"/>
    </sheetView>
  </sheetViews>
  <sheetFormatPr baseColWidth="10" defaultColWidth="11.28515625" defaultRowHeight="12.75" x14ac:dyDescent="0.2"/>
  <cols>
    <col min="1" max="1" width="2" style="363" customWidth="1"/>
    <col min="2" max="2" width="45.85546875" style="363" customWidth="1"/>
    <col min="3" max="3" width="8.140625" style="378" bestFit="1" customWidth="1"/>
    <col min="4" max="4" width="6.7109375" style="363" bestFit="1" customWidth="1"/>
    <col min="5" max="6" width="6" style="363" customWidth="1"/>
    <col min="7" max="32" width="7.140625" style="363" customWidth="1"/>
    <col min="33" max="33" width="7.140625" style="363" bestFit="1" customWidth="1"/>
    <col min="34" max="34" width="0.85546875" style="363" customWidth="1"/>
    <col min="35" max="35" width="8.140625" style="378" bestFit="1" customWidth="1"/>
    <col min="36" max="36" width="6.7109375" style="363" bestFit="1" customWidth="1"/>
    <col min="37" max="50" width="6" style="363" customWidth="1"/>
    <col min="51" max="62" width="7.140625" style="363" customWidth="1"/>
    <col min="63" max="64" width="7.28515625" style="363" customWidth="1"/>
    <col min="65" max="65" width="7.140625" style="363" customWidth="1"/>
    <col min="66" max="66" width="1.28515625" style="363" customWidth="1"/>
    <col min="67" max="67" width="8.140625" style="378" bestFit="1" customWidth="1"/>
    <col min="68" max="68" width="6.7109375" style="363" bestFit="1" customWidth="1"/>
    <col min="69" max="69" width="6" style="363" bestFit="1" customWidth="1"/>
    <col min="70" max="82" width="6" style="363" customWidth="1"/>
    <col min="83" max="90" width="7.140625" style="363" customWidth="1"/>
    <col min="91" max="95" width="7.140625" style="363" bestFit="1" customWidth="1"/>
    <col min="96" max="96" width="7.140625" style="363" customWidth="1"/>
    <col min="97" max="97" width="7.140625" style="363" bestFit="1" customWidth="1"/>
    <col min="98" max="256" width="11.28515625" style="363"/>
    <col min="257" max="257" width="2" style="363" customWidth="1"/>
    <col min="258" max="258" width="45.85546875" style="363" customWidth="1"/>
    <col min="259" max="259" width="8.140625" style="363" bestFit="1" customWidth="1"/>
    <col min="260" max="260" width="6.7109375" style="363" bestFit="1" customWidth="1"/>
    <col min="261" max="262" width="6" style="363" customWidth="1"/>
    <col min="263" max="288" width="7.140625" style="363" customWidth="1"/>
    <col min="289" max="289" width="7.140625" style="363" bestFit="1" customWidth="1"/>
    <col min="290" max="290" width="0.85546875" style="363" customWidth="1"/>
    <col min="291" max="291" width="8.140625" style="363" bestFit="1" customWidth="1"/>
    <col min="292" max="292" width="6.7109375" style="363" bestFit="1" customWidth="1"/>
    <col min="293" max="306" width="6" style="363" customWidth="1"/>
    <col min="307" max="318" width="7.140625" style="363" customWidth="1"/>
    <col min="319" max="320" width="7.28515625" style="363" customWidth="1"/>
    <col min="321" max="321" width="7.140625" style="363" customWidth="1"/>
    <col min="322" max="322" width="1.28515625" style="363" customWidth="1"/>
    <col min="323" max="323" width="8.140625" style="363" bestFit="1" customWidth="1"/>
    <col min="324" max="324" width="6.7109375" style="363" bestFit="1" customWidth="1"/>
    <col min="325" max="325" width="6" style="363" bestFit="1" customWidth="1"/>
    <col min="326" max="338" width="6" style="363" customWidth="1"/>
    <col min="339" max="346" width="7.140625" style="363" customWidth="1"/>
    <col min="347" max="351" width="7.140625" style="363" bestFit="1" customWidth="1"/>
    <col min="352" max="352" width="7.140625" style="363" customWidth="1"/>
    <col min="353" max="353" width="7.140625" style="363" bestFit="1" customWidth="1"/>
    <col min="354" max="512" width="11.28515625" style="363"/>
    <col min="513" max="513" width="2" style="363" customWidth="1"/>
    <col min="514" max="514" width="45.85546875" style="363" customWidth="1"/>
    <col min="515" max="515" width="8.140625" style="363" bestFit="1" customWidth="1"/>
    <col min="516" max="516" width="6.7109375" style="363" bestFit="1" customWidth="1"/>
    <col min="517" max="518" width="6" style="363" customWidth="1"/>
    <col min="519" max="544" width="7.140625" style="363" customWidth="1"/>
    <col min="545" max="545" width="7.140625" style="363" bestFit="1" customWidth="1"/>
    <col min="546" max="546" width="0.85546875" style="363" customWidth="1"/>
    <col min="547" max="547" width="8.140625" style="363" bestFit="1" customWidth="1"/>
    <col min="548" max="548" width="6.7109375" style="363" bestFit="1" customWidth="1"/>
    <col min="549" max="562" width="6" style="363" customWidth="1"/>
    <col min="563" max="574" width="7.140625" style="363" customWidth="1"/>
    <col min="575" max="576" width="7.28515625" style="363" customWidth="1"/>
    <col min="577" max="577" width="7.140625" style="363" customWidth="1"/>
    <col min="578" max="578" width="1.28515625" style="363" customWidth="1"/>
    <col min="579" max="579" width="8.140625" style="363" bestFit="1" customWidth="1"/>
    <col min="580" max="580" width="6.7109375" style="363" bestFit="1" customWidth="1"/>
    <col min="581" max="581" width="6" style="363" bestFit="1" customWidth="1"/>
    <col min="582" max="594" width="6" style="363" customWidth="1"/>
    <col min="595" max="602" width="7.140625" style="363" customWidth="1"/>
    <col min="603" max="607" width="7.140625" style="363" bestFit="1" customWidth="1"/>
    <col min="608" max="608" width="7.140625" style="363" customWidth="1"/>
    <col min="609" max="609" width="7.140625" style="363" bestFit="1" customWidth="1"/>
    <col min="610" max="768" width="11.28515625" style="363"/>
    <col min="769" max="769" width="2" style="363" customWidth="1"/>
    <col min="770" max="770" width="45.85546875" style="363" customWidth="1"/>
    <col min="771" max="771" width="8.140625" style="363" bestFit="1" customWidth="1"/>
    <col min="772" max="772" width="6.7109375" style="363" bestFit="1" customWidth="1"/>
    <col min="773" max="774" width="6" style="363" customWidth="1"/>
    <col min="775" max="800" width="7.140625" style="363" customWidth="1"/>
    <col min="801" max="801" width="7.140625" style="363" bestFit="1" customWidth="1"/>
    <col min="802" max="802" width="0.85546875" style="363" customWidth="1"/>
    <col min="803" max="803" width="8.140625" style="363" bestFit="1" customWidth="1"/>
    <col min="804" max="804" width="6.7109375" style="363" bestFit="1" customWidth="1"/>
    <col min="805" max="818" width="6" style="363" customWidth="1"/>
    <col min="819" max="830" width="7.140625" style="363" customWidth="1"/>
    <col min="831" max="832" width="7.28515625" style="363" customWidth="1"/>
    <col min="833" max="833" width="7.140625" style="363" customWidth="1"/>
    <col min="834" max="834" width="1.28515625" style="363" customWidth="1"/>
    <col min="835" max="835" width="8.140625" style="363" bestFit="1" customWidth="1"/>
    <col min="836" max="836" width="6.7109375" style="363" bestFit="1" customWidth="1"/>
    <col min="837" max="837" width="6" style="363" bestFit="1" customWidth="1"/>
    <col min="838" max="850" width="6" style="363" customWidth="1"/>
    <col min="851" max="858" width="7.140625" style="363" customWidth="1"/>
    <col min="859" max="863" width="7.140625" style="363" bestFit="1" customWidth="1"/>
    <col min="864" max="864" width="7.140625" style="363" customWidth="1"/>
    <col min="865" max="865" width="7.140625" style="363" bestFit="1" customWidth="1"/>
    <col min="866" max="1024" width="11.28515625" style="363"/>
    <col min="1025" max="1025" width="2" style="363" customWidth="1"/>
    <col min="1026" max="1026" width="45.85546875" style="363" customWidth="1"/>
    <col min="1027" max="1027" width="8.140625" style="363" bestFit="1" customWidth="1"/>
    <col min="1028" max="1028" width="6.7109375" style="363" bestFit="1" customWidth="1"/>
    <col min="1029" max="1030" width="6" style="363" customWidth="1"/>
    <col min="1031" max="1056" width="7.140625" style="363" customWidth="1"/>
    <col min="1057" max="1057" width="7.140625" style="363" bestFit="1" customWidth="1"/>
    <col min="1058" max="1058" width="0.85546875" style="363" customWidth="1"/>
    <col min="1059" max="1059" width="8.140625" style="363" bestFit="1" customWidth="1"/>
    <col min="1060" max="1060" width="6.7109375" style="363" bestFit="1" customWidth="1"/>
    <col min="1061" max="1074" width="6" style="363" customWidth="1"/>
    <col min="1075" max="1086" width="7.140625" style="363" customWidth="1"/>
    <col min="1087" max="1088" width="7.28515625" style="363" customWidth="1"/>
    <col min="1089" max="1089" width="7.140625" style="363" customWidth="1"/>
    <col min="1090" max="1090" width="1.28515625" style="363" customWidth="1"/>
    <col min="1091" max="1091" width="8.140625" style="363" bestFit="1" customWidth="1"/>
    <col min="1092" max="1092" width="6.7109375" style="363" bestFit="1" customWidth="1"/>
    <col min="1093" max="1093" width="6" style="363" bestFit="1" customWidth="1"/>
    <col min="1094" max="1106" width="6" style="363" customWidth="1"/>
    <col min="1107" max="1114" width="7.140625" style="363" customWidth="1"/>
    <col min="1115" max="1119" width="7.140625" style="363" bestFit="1" customWidth="1"/>
    <col min="1120" max="1120" width="7.140625" style="363" customWidth="1"/>
    <col min="1121" max="1121" width="7.140625" style="363" bestFit="1" customWidth="1"/>
    <col min="1122" max="1280" width="11.28515625" style="363"/>
    <col min="1281" max="1281" width="2" style="363" customWidth="1"/>
    <col min="1282" max="1282" width="45.85546875" style="363" customWidth="1"/>
    <col min="1283" max="1283" width="8.140625" style="363" bestFit="1" customWidth="1"/>
    <col min="1284" max="1284" width="6.7109375" style="363" bestFit="1" customWidth="1"/>
    <col min="1285" max="1286" width="6" style="363" customWidth="1"/>
    <col min="1287" max="1312" width="7.140625" style="363" customWidth="1"/>
    <col min="1313" max="1313" width="7.140625" style="363" bestFit="1" customWidth="1"/>
    <col min="1314" max="1314" width="0.85546875" style="363" customWidth="1"/>
    <col min="1315" max="1315" width="8.140625" style="363" bestFit="1" customWidth="1"/>
    <col min="1316" max="1316" width="6.7109375" style="363" bestFit="1" customWidth="1"/>
    <col min="1317" max="1330" width="6" style="363" customWidth="1"/>
    <col min="1331" max="1342" width="7.140625" style="363" customWidth="1"/>
    <col min="1343" max="1344" width="7.28515625" style="363" customWidth="1"/>
    <col min="1345" max="1345" width="7.140625" style="363" customWidth="1"/>
    <col min="1346" max="1346" width="1.28515625" style="363" customWidth="1"/>
    <col min="1347" max="1347" width="8.140625" style="363" bestFit="1" customWidth="1"/>
    <col min="1348" max="1348" width="6.7109375" style="363" bestFit="1" customWidth="1"/>
    <col min="1349" max="1349" width="6" style="363" bestFit="1" customWidth="1"/>
    <col min="1350" max="1362" width="6" style="363" customWidth="1"/>
    <col min="1363" max="1370" width="7.140625" style="363" customWidth="1"/>
    <col min="1371" max="1375" width="7.140625" style="363" bestFit="1" customWidth="1"/>
    <col min="1376" max="1376" width="7.140625" style="363" customWidth="1"/>
    <col min="1377" max="1377" width="7.140625" style="363" bestFit="1" customWidth="1"/>
    <col min="1378" max="1536" width="11.28515625" style="363"/>
    <col min="1537" max="1537" width="2" style="363" customWidth="1"/>
    <col min="1538" max="1538" width="45.85546875" style="363" customWidth="1"/>
    <col min="1539" max="1539" width="8.140625" style="363" bestFit="1" customWidth="1"/>
    <col min="1540" max="1540" width="6.7109375" style="363" bestFit="1" customWidth="1"/>
    <col min="1541" max="1542" width="6" style="363" customWidth="1"/>
    <col min="1543" max="1568" width="7.140625" style="363" customWidth="1"/>
    <col min="1569" max="1569" width="7.140625" style="363" bestFit="1" customWidth="1"/>
    <col min="1570" max="1570" width="0.85546875" style="363" customWidth="1"/>
    <col min="1571" max="1571" width="8.140625" style="363" bestFit="1" customWidth="1"/>
    <col min="1572" max="1572" width="6.7109375" style="363" bestFit="1" customWidth="1"/>
    <col min="1573" max="1586" width="6" style="363" customWidth="1"/>
    <col min="1587" max="1598" width="7.140625" style="363" customWidth="1"/>
    <col min="1599" max="1600" width="7.28515625" style="363" customWidth="1"/>
    <col min="1601" max="1601" width="7.140625" style="363" customWidth="1"/>
    <col min="1602" max="1602" width="1.28515625" style="363" customWidth="1"/>
    <col min="1603" max="1603" width="8.140625" style="363" bestFit="1" customWidth="1"/>
    <col min="1604" max="1604" width="6.7109375" style="363" bestFit="1" customWidth="1"/>
    <col min="1605" max="1605" width="6" style="363" bestFit="1" customWidth="1"/>
    <col min="1606" max="1618" width="6" style="363" customWidth="1"/>
    <col min="1619" max="1626" width="7.140625" style="363" customWidth="1"/>
    <col min="1627" max="1631" width="7.140625" style="363" bestFit="1" customWidth="1"/>
    <col min="1632" max="1632" width="7.140625" style="363" customWidth="1"/>
    <col min="1633" max="1633" width="7.140625" style="363" bestFit="1" customWidth="1"/>
    <col min="1634" max="1792" width="11.28515625" style="363"/>
    <col min="1793" max="1793" width="2" style="363" customWidth="1"/>
    <col min="1794" max="1794" width="45.85546875" style="363" customWidth="1"/>
    <col min="1795" max="1795" width="8.140625" style="363" bestFit="1" customWidth="1"/>
    <col min="1796" max="1796" width="6.7109375" style="363" bestFit="1" customWidth="1"/>
    <col min="1797" max="1798" width="6" style="363" customWidth="1"/>
    <col min="1799" max="1824" width="7.140625" style="363" customWidth="1"/>
    <col min="1825" max="1825" width="7.140625" style="363" bestFit="1" customWidth="1"/>
    <col min="1826" max="1826" width="0.85546875" style="363" customWidth="1"/>
    <col min="1827" max="1827" width="8.140625" style="363" bestFit="1" customWidth="1"/>
    <col min="1828" max="1828" width="6.7109375" style="363" bestFit="1" customWidth="1"/>
    <col min="1829" max="1842" width="6" style="363" customWidth="1"/>
    <col min="1843" max="1854" width="7.140625" style="363" customWidth="1"/>
    <col min="1855" max="1856" width="7.28515625" style="363" customWidth="1"/>
    <col min="1857" max="1857" width="7.140625" style="363" customWidth="1"/>
    <col min="1858" max="1858" width="1.28515625" style="363" customWidth="1"/>
    <col min="1859" max="1859" width="8.140625" style="363" bestFit="1" customWidth="1"/>
    <col min="1860" max="1860" width="6.7109375" style="363" bestFit="1" customWidth="1"/>
    <col min="1861" max="1861" width="6" style="363" bestFit="1" customWidth="1"/>
    <col min="1862" max="1874" width="6" style="363" customWidth="1"/>
    <col min="1875" max="1882" width="7.140625" style="363" customWidth="1"/>
    <col min="1883" max="1887" width="7.140625" style="363" bestFit="1" customWidth="1"/>
    <col min="1888" max="1888" width="7.140625" style="363" customWidth="1"/>
    <col min="1889" max="1889" width="7.140625" style="363" bestFit="1" customWidth="1"/>
    <col min="1890" max="2048" width="11.28515625" style="363"/>
    <col min="2049" max="2049" width="2" style="363" customWidth="1"/>
    <col min="2050" max="2050" width="45.85546875" style="363" customWidth="1"/>
    <col min="2051" max="2051" width="8.140625" style="363" bestFit="1" customWidth="1"/>
    <col min="2052" max="2052" width="6.7109375" style="363" bestFit="1" customWidth="1"/>
    <col min="2053" max="2054" width="6" style="363" customWidth="1"/>
    <col min="2055" max="2080" width="7.140625" style="363" customWidth="1"/>
    <col min="2081" max="2081" width="7.140625" style="363" bestFit="1" customWidth="1"/>
    <col min="2082" max="2082" width="0.85546875" style="363" customWidth="1"/>
    <col min="2083" max="2083" width="8.140625" style="363" bestFit="1" customWidth="1"/>
    <col min="2084" max="2084" width="6.7109375" style="363" bestFit="1" customWidth="1"/>
    <col min="2085" max="2098" width="6" style="363" customWidth="1"/>
    <col min="2099" max="2110" width="7.140625" style="363" customWidth="1"/>
    <col min="2111" max="2112" width="7.28515625" style="363" customWidth="1"/>
    <col min="2113" max="2113" width="7.140625" style="363" customWidth="1"/>
    <col min="2114" max="2114" width="1.28515625" style="363" customWidth="1"/>
    <col min="2115" max="2115" width="8.140625" style="363" bestFit="1" customWidth="1"/>
    <col min="2116" max="2116" width="6.7109375" style="363" bestFit="1" customWidth="1"/>
    <col min="2117" max="2117" width="6" style="363" bestFit="1" customWidth="1"/>
    <col min="2118" max="2130" width="6" style="363" customWidth="1"/>
    <col min="2131" max="2138" width="7.140625" style="363" customWidth="1"/>
    <col min="2139" max="2143" width="7.140625" style="363" bestFit="1" customWidth="1"/>
    <col min="2144" max="2144" width="7.140625" style="363" customWidth="1"/>
    <col min="2145" max="2145" width="7.140625" style="363" bestFit="1" customWidth="1"/>
    <col min="2146" max="2304" width="11.28515625" style="363"/>
    <col min="2305" max="2305" width="2" style="363" customWidth="1"/>
    <col min="2306" max="2306" width="45.85546875" style="363" customWidth="1"/>
    <col min="2307" max="2307" width="8.140625" style="363" bestFit="1" customWidth="1"/>
    <col min="2308" max="2308" width="6.7109375" style="363" bestFit="1" customWidth="1"/>
    <col min="2309" max="2310" width="6" style="363" customWidth="1"/>
    <col min="2311" max="2336" width="7.140625" style="363" customWidth="1"/>
    <col min="2337" max="2337" width="7.140625" style="363" bestFit="1" customWidth="1"/>
    <col min="2338" max="2338" width="0.85546875" style="363" customWidth="1"/>
    <col min="2339" max="2339" width="8.140625" style="363" bestFit="1" customWidth="1"/>
    <col min="2340" max="2340" width="6.7109375" style="363" bestFit="1" customWidth="1"/>
    <col min="2341" max="2354" width="6" style="363" customWidth="1"/>
    <col min="2355" max="2366" width="7.140625" style="363" customWidth="1"/>
    <col min="2367" max="2368" width="7.28515625" style="363" customWidth="1"/>
    <col min="2369" max="2369" width="7.140625" style="363" customWidth="1"/>
    <col min="2370" max="2370" width="1.28515625" style="363" customWidth="1"/>
    <col min="2371" max="2371" width="8.140625" style="363" bestFit="1" customWidth="1"/>
    <col min="2372" max="2372" width="6.7109375" style="363" bestFit="1" customWidth="1"/>
    <col min="2373" max="2373" width="6" style="363" bestFit="1" customWidth="1"/>
    <col min="2374" max="2386" width="6" style="363" customWidth="1"/>
    <col min="2387" max="2394" width="7.140625" style="363" customWidth="1"/>
    <col min="2395" max="2399" width="7.140625" style="363" bestFit="1" customWidth="1"/>
    <col min="2400" max="2400" width="7.140625" style="363" customWidth="1"/>
    <col min="2401" max="2401" width="7.140625" style="363" bestFit="1" customWidth="1"/>
    <col min="2402" max="2560" width="11.28515625" style="363"/>
    <col min="2561" max="2561" width="2" style="363" customWidth="1"/>
    <col min="2562" max="2562" width="45.85546875" style="363" customWidth="1"/>
    <col min="2563" max="2563" width="8.140625" style="363" bestFit="1" customWidth="1"/>
    <col min="2564" max="2564" width="6.7109375" style="363" bestFit="1" customWidth="1"/>
    <col min="2565" max="2566" width="6" style="363" customWidth="1"/>
    <col min="2567" max="2592" width="7.140625" style="363" customWidth="1"/>
    <col min="2593" max="2593" width="7.140625" style="363" bestFit="1" customWidth="1"/>
    <col min="2594" max="2594" width="0.85546875" style="363" customWidth="1"/>
    <col min="2595" max="2595" width="8.140625" style="363" bestFit="1" customWidth="1"/>
    <col min="2596" max="2596" width="6.7109375" style="363" bestFit="1" customWidth="1"/>
    <col min="2597" max="2610" width="6" style="363" customWidth="1"/>
    <col min="2611" max="2622" width="7.140625" style="363" customWidth="1"/>
    <col min="2623" max="2624" width="7.28515625" style="363" customWidth="1"/>
    <col min="2625" max="2625" width="7.140625" style="363" customWidth="1"/>
    <col min="2626" max="2626" width="1.28515625" style="363" customWidth="1"/>
    <col min="2627" max="2627" width="8.140625" style="363" bestFit="1" customWidth="1"/>
    <col min="2628" max="2628" width="6.7109375" style="363" bestFit="1" customWidth="1"/>
    <col min="2629" max="2629" width="6" style="363" bestFit="1" customWidth="1"/>
    <col min="2630" max="2642" width="6" style="363" customWidth="1"/>
    <col min="2643" max="2650" width="7.140625" style="363" customWidth="1"/>
    <col min="2651" max="2655" width="7.140625" style="363" bestFit="1" customWidth="1"/>
    <col min="2656" max="2656" width="7.140625" style="363" customWidth="1"/>
    <col min="2657" max="2657" width="7.140625" style="363" bestFit="1" customWidth="1"/>
    <col min="2658" max="2816" width="11.28515625" style="363"/>
    <col min="2817" max="2817" width="2" style="363" customWidth="1"/>
    <col min="2818" max="2818" width="45.85546875" style="363" customWidth="1"/>
    <col min="2819" max="2819" width="8.140625" style="363" bestFit="1" customWidth="1"/>
    <col min="2820" max="2820" width="6.7109375" style="363" bestFit="1" customWidth="1"/>
    <col min="2821" max="2822" width="6" style="363" customWidth="1"/>
    <col min="2823" max="2848" width="7.140625" style="363" customWidth="1"/>
    <col min="2849" max="2849" width="7.140625" style="363" bestFit="1" customWidth="1"/>
    <col min="2850" max="2850" width="0.85546875" style="363" customWidth="1"/>
    <col min="2851" max="2851" width="8.140625" style="363" bestFit="1" customWidth="1"/>
    <col min="2852" max="2852" width="6.7109375" style="363" bestFit="1" customWidth="1"/>
    <col min="2853" max="2866" width="6" style="363" customWidth="1"/>
    <col min="2867" max="2878" width="7.140625" style="363" customWidth="1"/>
    <col min="2879" max="2880" width="7.28515625" style="363" customWidth="1"/>
    <col min="2881" max="2881" width="7.140625" style="363" customWidth="1"/>
    <col min="2882" max="2882" width="1.28515625" style="363" customWidth="1"/>
    <col min="2883" max="2883" width="8.140625" style="363" bestFit="1" customWidth="1"/>
    <col min="2884" max="2884" width="6.7109375" style="363" bestFit="1" customWidth="1"/>
    <col min="2885" max="2885" width="6" style="363" bestFit="1" customWidth="1"/>
    <col min="2886" max="2898" width="6" style="363" customWidth="1"/>
    <col min="2899" max="2906" width="7.140625" style="363" customWidth="1"/>
    <col min="2907" max="2911" width="7.140625" style="363" bestFit="1" customWidth="1"/>
    <col min="2912" max="2912" width="7.140625" style="363" customWidth="1"/>
    <col min="2913" max="2913" width="7.140625" style="363" bestFit="1" customWidth="1"/>
    <col min="2914" max="3072" width="11.28515625" style="363"/>
    <col min="3073" max="3073" width="2" style="363" customWidth="1"/>
    <col min="3074" max="3074" width="45.85546875" style="363" customWidth="1"/>
    <col min="3075" max="3075" width="8.140625" style="363" bestFit="1" customWidth="1"/>
    <col min="3076" max="3076" width="6.7109375" style="363" bestFit="1" customWidth="1"/>
    <col min="3077" max="3078" width="6" style="363" customWidth="1"/>
    <col min="3079" max="3104" width="7.140625" style="363" customWidth="1"/>
    <col min="3105" max="3105" width="7.140625" style="363" bestFit="1" customWidth="1"/>
    <col min="3106" max="3106" width="0.85546875" style="363" customWidth="1"/>
    <col min="3107" max="3107" width="8.140625" style="363" bestFit="1" customWidth="1"/>
    <col min="3108" max="3108" width="6.7109375" style="363" bestFit="1" customWidth="1"/>
    <col min="3109" max="3122" width="6" style="363" customWidth="1"/>
    <col min="3123" max="3134" width="7.140625" style="363" customWidth="1"/>
    <col min="3135" max="3136" width="7.28515625" style="363" customWidth="1"/>
    <col min="3137" max="3137" width="7.140625" style="363" customWidth="1"/>
    <col min="3138" max="3138" width="1.28515625" style="363" customWidth="1"/>
    <col min="3139" max="3139" width="8.140625" style="363" bestFit="1" customWidth="1"/>
    <col min="3140" max="3140" width="6.7109375" style="363" bestFit="1" customWidth="1"/>
    <col min="3141" max="3141" width="6" style="363" bestFit="1" customWidth="1"/>
    <col min="3142" max="3154" width="6" style="363" customWidth="1"/>
    <col min="3155" max="3162" width="7.140625" style="363" customWidth="1"/>
    <col min="3163" max="3167" width="7.140625" style="363" bestFit="1" customWidth="1"/>
    <col min="3168" max="3168" width="7.140625" style="363" customWidth="1"/>
    <col min="3169" max="3169" width="7.140625" style="363" bestFit="1" customWidth="1"/>
    <col min="3170" max="3328" width="11.28515625" style="363"/>
    <col min="3329" max="3329" width="2" style="363" customWidth="1"/>
    <col min="3330" max="3330" width="45.85546875" style="363" customWidth="1"/>
    <col min="3331" max="3331" width="8.140625" style="363" bestFit="1" customWidth="1"/>
    <col min="3332" max="3332" width="6.7109375" style="363" bestFit="1" customWidth="1"/>
    <col min="3333" max="3334" width="6" style="363" customWidth="1"/>
    <col min="3335" max="3360" width="7.140625" style="363" customWidth="1"/>
    <col min="3361" max="3361" width="7.140625" style="363" bestFit="1" customWidth="1"/>
    <col min="3362" max="3362" width="0.85546875" style="363" customWidth="1"/>
    <col min="3363" max="3363" width="8.140625" style="363" bestFit="1" customWidth="1"/>
    <col min="3364" max="3364" width="6.7109375" style="363" bestFit="1" customWidth="1"/>
    <col min="3365" max="3378" width="6" style="363" customWidth="1"/>
    <col min="3379" max="3390" width="7.140625" style="363" customWidth="1"/>
    <col min="3391" max="3392" width="7.28515625" style="363" customWidth="1"/>
    <col min="3393" max="3393" width="7.140625" style="363" customWidth="1"/>
    <col min="3394" max="3394" width="1.28515625" style="363" customWidth="1"/>
    <col min="3395" max="3395" width="8.140625" style="363" bestFit="1" customWidth="1"/>
    <col min="3396" max="3396" width="6.7109375" style="363" bestFit="1" customWidth="1"/>
    <col min="3397" max="3397" width="6" style="363" bestFit="1" customWidth="1"/>
    <col min="3398" max="3410" width="6" style="363" customWidth="1"/>
    <col min="3411" max="3418" width="7.140625" style="363" customWidth="1"/>
    <col min="3419" max="3423" width="7.140625" style="363" bestFit="1" customWidth="1"/>
    <col min="3424" max="3424" width="7.140625" style="363" customWidth="1"/>
    <col min="3425" max="3425" width="7.140625" style="363" bestFit="1" customWidth="1"/>
    <col min="3426" max="3584" width="11.28515625" style="363"/>
    <col min="3585" max="3585" width="2" style="363" customWidth="1"/>
    <col min="3586" max="3586" width="45.85546875" style="363" customWidth="1"/>
    <col min="3587" max="3587" width="8.140625" style="363" bestFit="1" customWidth="1"/>
    <col min="3588" max="3588" width="6.7109375" style="363" bestFit="1" customWidth="1"/>
    <col min="3589" max="3590" width="6" style="363" customWidth="1"/>
    <col min="3591" max="3616" width="7.140625" style="363" customWidth="1"/>
    <col min="3617" max="3617" width="7.140625" style="363" bestFit="1" customWidth="1"/>
    <col min="3618" max="3618" width="0.85546875" style="363" customWidth="1"/>
    <col min="3619" max="3619" width="8.140625" style="363" bestFit="1" customWidth="1"/>
    <col min="3620" max="3620" width="6.7109375" style="363" bestFit="1" customWidth="1"/>
    <col min="3621" max="3634" width="6" style="363" customWidth="1"/>
    <col min="3635" max="3646" width="7.140625" style="363" customWidth="1"/>
    <col min="3647" max="3648" width="7.28515625" style="363" customWidth="1"/>
    <col min="3649" max="3649" width="7.140625" style="363" customWidth="1"/>
    <col min="3650" max="3650" width="1.28515625" style="363" customWidth="1"/>
    <col min="3651" max="3651" width="8.140625" style="363" bestFit="1" customWidth="1"/>
    <col min="3652" max="3652" width="6.7109375" style="363" bestFit="1" customWidth="1"/>
    <col min="3653" max="3653" width="6" style="363" bestFit="1" customWidth="1"/>
    <col min="3654" max="3666" width="6" style="363" customWidth="1"/>
    <col min="3667" max="3674" width="7.140625" style="363" customWidth="1"/>
    <col min="3675" max="3679" width="7.140625" style="363" bestFit="1" customWidth="1"/>
    <col min="3680" max="3680" width="7.140625" style="363" customWidth="1"/>
    <col min="3681" max="3681" width="7.140625" style="363" bestFit="1" customWidth="1"/>
    <col min="3682" max="3840" width="11.28515625" style="363"/>
    <col min="3841" max="3841" width="2" style="363" customWidth="1"/>
    <col min="3842" max="3842" width="45.85546875" style="363" customWidth="1"/>
    <col min="3843" max="3843" width="8.140625" style="363" bestFit="1" customWidth="1"/>
    <col min="3844" max="3844" width="6.7109375" style="363" bestFit="1" customWidth="1"/>
    <col min="3845" max="3846" width="6" style="363" customWidth="1"/>
    <col min="3847" max="3872" width="7.140625" style="363" customWidth="1"/>
    <col min="3873" max="3873" width="7.140625" style="363" bestFit="1" customWidth="1"/>
    <col min="3874" max="3874" width="0.85546875" style="363" customWidth="1"/>
    <col min="3875" max="3875" width="8.140625" style="363" bestFit="1" customWidth="1"/>
    <col min="3876" max="3876" width="6.7109375" style="363" bestFit="1" customWidth="1"/>
    <col min="3877" max="3890" width="6" style="363" customWidth="1"/>
    <col min="3891" max="3902" width="7.140625" style="363" customWidth="1"/>
    <col min="3903" max="3904" width="7.28515625" style="363" customWidth="1"/>
    <col min="3905" max="3905" width="7.140625" style="363" customWidth="1"/>
    <col min="3906" max="3906" width="1.28515625" style="363" customWidth="1"/>
    <col min="3907" max="3907" width="8.140625" style="363" bestFit="1" customWidth="1"/>
    <col min="3908" max="3908" width="6.7109375" style="363" bestFit="1" customWidth="1"/>
    <col min="3909" max="3909" width="6" style="363" bestFit="1" customWidth="1"/>
    <col min="3910" max="3922" width="6" style="363" customWidth="1"/>
    <col min="3923" max="3930" width="7.140625" style="363" customWidth="1"/>
    <col min="3931" max="3935" width="7.140625" style="363" bestFit="1" customWidth="1"/>
    <col min="3936" max="3936" width="7.140625" style="363" customWidth="1"/>
    <col min="3937" max="3937" width="7.140625" style="363" bestFit="1" customWidth="1"/>
    <col min="3938" max="4096" width="11.28515625" style="363"/>
    <col min="4097" max="4097" width="2" style="363" customWidth="1"/>
    <col min="4098" max="4098" width="45.85546875" style="363" customWidth="1"/>
    <col min="4099" max="4099" width="8.140625" style="363" bestFit="1" customWidth="1"/>
    <col min="4100" max="4100" width="6.7109375" style="363" bestFit="1" customWidth="1"/>
    <col min="4101" max="4102" width="6" style="363" customWidth="1"/>
    <col min="4103" max="4128" width="7.140625" style="363" customWidth="1"/>
    <col min="4129" max="4129" width="7.140625" style="363" bestFit="1" customWidth="1"/>
    <col min="4130" max="4130" width="0.85546875" style="363" customWidth="1"/>
    <col min="4131" max="4131" width="8.140625" style="363" bestFit="1" customWidth="1"/>
    <col min="4132" max="4132" width="6.7109375" style="363" bestFit="1" customWidth="1"/>
    <col min="4133" max="4146" width="6" style="363" customWidth="1"/>
    <col min="4147" max="4158" width="7.140625" style="363" customWidth="1"/>
    <col min="4159" max="4160" width="7.28515625" style="363" customWidth="1"/>
    <col min="4161" max="4161" width="7.140625" style="363" customWidth="1"/>
    <col min="4162" max="4162" width="1.28515625" style="363" customWidth="1"/>
    <col min="4163" max="4163" width="8.140625" style="363" bestFit="1" customWidth="1"/>
    <col min="4164" max="4164" width="6.7109375" style="363" bestFit="1" customWidth="1"/>
    <col min="4165" max="4165" width="6" style="363" bestFit="1" customWidth="1"/>
    <col min="4166" max="4178" width="6" style="363" customWidth="1"/>
    <col min="4179" max="4186" width="7.140625" style="363" customWidth="1"/>
    <col min="4187" max="4191" width="7.140625" style="363" bestFit="1" customWidth="1"/>
    <col min="4192" max="4192" width="7.140625" style="363" customWidth="1"/>
    <col min="4193" max="4193" width="7.140625" style="363" bestFit="1" customWidth="1"/>
    <col min="4194" max="4352" width="11.28515625" style="363"/>
    <col min="4353" max="4353" width="2" style="363" customWidth="1"/>
    <col min="4354" max="4354" width="45.85546875" style="363" customWidth="1"/>
    <col min="4355" max="4355" width="8.140625" style="363" bestFit="1" customWidth="1"/>
    <col min="4356" max="4356" width="6.7109375" style="363" bestFit="1" customWidth="1"/>
    <col min="4357" max="4358" width="6" style="363" customWidth="1"/>
    <col min="4359" max="4384" width="7.140625" style="363" customWidth="1"/>
    <col min="4385" max="4385" width="7.140625" style="363" bestFit="1" customWidth="1"/>
    <col min="4386" max="4386" width="0.85546875" style="363" customWidth="1"/>
    <col min="4387" max="4387" width="8.140625" style="363" bestFit="1" customWidth="1"/>
    <col min="4388" max="4388" width="6.7109375" style="363" bestFit="1" customWidth="1"/>
    <col min="4389" max="4402" width="6" style="363" customWidth="1"/>
    <col min="4403" max="4414" width="7.140625" style="363" customWidth="1"/>
    <col min="4415" max="4416" width="7.28515625" style="363" customWidth="1"/>
    <col min="4417" max="4417" width="7.140625" style="363" customWidth="1"/>
    <col min="4418" max="4418" width="1.28515625" style="363" customWidth="1"/>
    <col min="4419" max="4419" width="8.140625" style="363" bestFit="1" customWidth="1"/>
    <col min="4420" max="4420" width="6.7109375" style="363" bestFit="1" customWidth="1"/>
    <col min="4421" max="4421" width="6" style="363" bestFit="1" customWidth="1"/>
    <col min="4422" max="4434" width="6" style="363" customWidth="1"/>
    <col min="4435" max="4442" width="7.140625" style="363" customWidth="1"/>
    <col min="4443" max="4447" width="7.140625" style="363" bestFit="1" customWidth="1"/>
    <col min="4448" max="4448" width="7.140625" style="363" customWidth="1"/>
    <col min="4449" max="4449" width="7.140625" style="363" bestFit="1" customWidth="1"/>
    <col min="4450" max="4608" width="11.28515625" style="363"/>
    <col min="4609" max="4609" width="2" style="363" customWidth="1"/>
    <col min="4610" max="4610" width="45.85546875" style="363" customWidth="1"/>
    <col min="4611" max="4611" width="8.140625" style="363" bestFit="1" customWidth="1"/>
    <col min="4612" max="4612" width="6.7109375" style="363" bestFit="1" customWidth="1"/>
    <col min="4613" max="4614" width="6" style="363" customWidth="1"/>
    <col min="4615" max="4640" width="7.140625" style="363" customWidth="1"/>
    <col min="4641" max="4641" width="7.140625" style="363" bestFit="1" customWidth="1"/>
    <col min="4642" max="4642" width="0.85546875" style="363" customWidth="1"/>
    <col min="4643" max="4643" width="8.140625" style="363" bestFit="1" customWidth="1"/>
    <col min="4644" max="4644" width="6.7109375" style="363" bestFit="1" customWidth="1"/>
    <col min="4645" max="4658" width="6" style="363" customWidth="1"/>
    <col min="4659" max="4670" width="7.140625" style="363" customWidth="1"/>
    <col min="4671" max="4672" width="7.28515625" style="363" customWidth="1"/>
    <col min="4673" max="4673" width="7.140625" style="363" customWidth="1"/>
    <col min="4674" max="4674" width="1.28515625" style="363" customWidth="1"/>
    <col min="4675" max="4675" width="8.140625" style="363" bestFit="1" customWidth="1"/>
    <col min="4676" max="4676" width="6.7109375" style="363" bestFit="1" customWidth="1"/>
    <col min="4677" max="4677" width="6" style="363" bestFit="1" customWidth="1"/>
    <col min="4678" max="4690" width="6" style="363" customWidth="1"/>
    <col min="4691" max="4698" width="7.140625" style="363" customWidth="1"/>
    <col min="4699" max="4703" width="7.140625" style="363" bestFit="1" customWidth="1"/>
    <col min="4704" max="4704" width="7.140625" style="363" customWidth="1"/>
    <col min="4705" max="4705" width="7.140625" style="363" bestFit="1" customWidth="1"/>
    <col min="4706" max="4864" width="11.28515625" style="363"/>
    <col min="4865" max="4865" width="2" style="363" customWidth="1"/>
    <col min="4866" max="4866" width="45.85546875" style="363" customWidth="1"/>
    <col min="4867" max="4867" width="8.140625" style="363" bestFit="1" customWidth="1"/>
    <col min="4868" max="4868" width="6.7109375" style="363" bestFit="1" customWidth="1"/>
    <col min="4869" max="4870" width="6" style="363" customWidth="1"/>
    <col min="4871" max="4896" width="7.140625" style="363" customWidth="1"/>
    <col min="4897" max="4897" width="7.140625" style="363" bestFit="1" customWidth="1"/>
    <col min="4898" max="4898" width="0.85546875" style="363" customWidth="1"/>
    <col min="4899" max="4899" width="8.140625" style="363" bestFit="1" customWidth="1"/>
    <col min="4900" max="4900" width="6.7109375" style="363" bestFit="1" customWidth="1"/>
    <col min="4901" max="4914" width="6" style="363" customWidth="1"/>
    <col min="4915" max="4926" width="7.140625" style="363" customWidth="1"/>
    <col min="4927" max="4928" width="7.28515625" style="363" customWidth="1"/>
    <col min="4929" max="4929" width="7.140625" style="363" customWidth="1"/>
    <col min="4930" max="4930" width="1.28515625" style="363" customWidth="1"/>
    <col min="4931" max="4931" width="8.140625" style="363" bestFit="1" customWidth="1"/>
    <col min="4932" max="4932" width="6.7109375" style="363" bestFit="1" customWidth="1"/>
    <col min="4933" max="4933" width="6" style="363" bestFit="1" customWidth="1"/>
    <col min="4934" max="4946" width="6" style="363" customWidth="1"/>
    <col min="4947" max="4954" width="7.140625" style="363" customWidth="1"/>
    <col min="4955" max="4959" width="7.140625" style="363" bestFit="1" customWidth="1"/>
    <col min="4960" max="4960" width="7.140625" style="363" customWidth="1"/>
    <col min="4961" max="4961" width="7.140625" style="363" bestFit="1" customWidth="1"/>
    <col min="4962" max="5120" width="11.28515625" style="363"/>
    <col min="5121" max="5121" width="2" style="363" customWidth="1"/>
    <col min="5122" max="5122" width="45.85546875" style="363" customWidth="1"/>
    <col min="5123" max="5123" width="8.140625" style="363" bestFit="1" customWidth="1"/>
    <col min="5124" max="5124" width="6.7109375" style="363" bestFit="1" customWidth="1"/>
    <col min="5125" max="5126" width="6" style="363" customWidth="1"/>
    <col min="5127" max="5152" width="7.140625" style="363" customWidth="1"/>
    <col min="5153" max="5153" width="7.140625" style="363" bestFit="1" customWidth="1"/>
    <col min="5154" max="5154" width="0.85546875" style="363" customWidth="1"/>
    <col min="5155" max="5155" width="8.140625" style="363" bestFit="1" customWidth="1"/>
    <col min="5156" max="5156" width="6.7109375" style="363" bestFit="1" customWidth="1"/>
    <col min="5157" max="5170" width="6" style="363" customWidth="1"/>
    <col min="5171" max="5182" width="7.140625" style="363" customWidth="1"/>
    <col min="5183" max="5184" width="7.28515625" style="363" customWidth="1"/>
    <col min="5185" max="5185" width="7.140625" style="363" customWidth="1"/>
    <col min="5186" max="5186" width="1.28515625" style="363" customWidth="1"/>
    <col min="5187" max="5187" width="8.140625" style="363" bestFit="1" customWidth="1"/>
    <col min="5188" max="5188" width="6.7109375" style="363" bestFit="1" customWidth="1"/>
    <col min="5189" max="5189" width="6" style="363" bestFit="1" customWidth="1"/>
    <col min="5190" max="5202" width="6" style="363" customWidth="1"/>
    <col min="5203" max="5210" width="7.140625" style="363" customWidth="1"/>
    <col min="5211" max="5215" width="7.140625" style="363" bestFit="1" customWidth="1"/>
    <col min="5216" max="5216" width="7.140625" style="363" customWidth="1"/>
    <col min="5217" max="5217" width="7.140625" style="363" bestFit="1" customWidth="1"/>
    <col min="5218" max="5376" width="11.28515625" style="363"/>
    <col min="5377" max="5377" width="2" style="363" customWidth="1"/>
    <col min="5378" max="5378" width="45.85546875" style="363" customWidth="1"/>
    <col min="5379" max="5379" width="8.140625" style="363" bestFit="1" customWidth="1"/>
    <col min="5380" max="5380" width="6.7109375" style="363" bestFit="1" customWidth="1"/>
    <col min="5381" max="5382" width="6" style="363" customWidth="1"/>
    <col min="5383" max="5408" width="7.140625" style="363" customWidth="1"/>
    <col min="5409" max="5409" width="7.140625" style="363" bestFit="1" customWidth="1"/>
    <col min="5410" max="5410" width="0.85546875" style="363" customWidth="1"/>
    <col min="5411" max="5411" width="8.140625" style="363" bestFit="1" customWidth="1"/>
    <col min="5412" max="5412" width="6.7109375" style="363" bestFit="1" customWidth="1"/>
    <col min="5413" max="5426" width="6" style="363" customWidth="1"/>
    <col min="5427" max="5438" width="7.140625" style="363" customWidth="1"/>
    <col min="5439" max="5440" width="7.28515625" style="363" customWidth="1"/>
    <col min="5441" max="5441" width="7.140625" style="363" customWidth="1"/>
    <col min="5442" max="5442" width="1.28515625" style="363" customWidth="1"/>
    <col min="5443" max="5443" width="8.140625" style="363" bestFit="1" customWidth="1"/>
    <col min="5444" max="5444" width="6.7109375" style="363" bestFit="1" customWidth="1"/>
    <col min="5445" max="5445" width="6" style="363" bestFit="1" customWidth="1"/>
    <col min="5446" max="5458" width="6" style="363" customWidth="1"/>
    <col min="5459" max="5466" width="7.140625" style="363" customWidth="1"/>
    <col min="5467" max="5471" width="7.140625" style="363" bestFit="1" customWidth="1"/>
    <col min="5472" max="5472" width="7.140625" style="363" customWidth="1"/>
    <col min="5473" max="5473" width="7.140625" style="363" bestFit="1" customWidth="1"/>
    <col min="5474" max="5632" width="11.28515625" style="363"/>
    <col min="5633" max="5633" width="2" style="363" customWidth="1"/>
    <col min="5634" max="5634" width="45.85546875" style="363" customWidth="1"/>
    <col min="5635" max="5635" width="8.140625" style="363" bestFit="1" customWidth="1"/>
    <col min="5636" max="5636" width="6.7109375" style="363" bestFit="1" customWidth="1"/>
    <col min="5637" max="5638" width="6" style="363" customWidth="1"/>
    <col min="5639" max="5664" width="7.140625" style="363" customWidth="1"/>
    <col min="5665" max="5665" width="7.140625" style="363" bestFit="1" customWidth="1"/>
    <col min="5666" max="5666" width="0.85546875" style="363" customWidth="1"/>
    <col min="5667" max="5667" width="8.140625" style="363" bestFit="1" customWidth="1"/>
    <col min="5668" max="5668" width="6.7109375" style="363" bestFit="1" customWidth="1"/>
    <col min="5669" max="5682" width="6" style="363" customWidth="1"/>
    <col min="5683" max="5694" width="7.140625" style="363" customWidth="1"/>
    <col min="5695" max="5696" width="7.28515625" style="363" customWidth="1"/>
    <col min="5697" max="5697" width="7.140625" style="363" customWidth="1"/>
    <col min="5698" max="5698" width="1.28515625" style="363" customWidth="1"/>
    <col min="5699" max="5699" width="8.140625" style="363" bestFit="1" customWidth="1"/>
    <col min="5700" max="5700" width="6.7109375" style="363" bestFit="1" customWidth="1"/>
    <col min="5701" max="5701" width="6" style="363" bestFit="1" customWidth="1"/>
    <col min="5702" max="5714" width="6" style="363" customWidth="1"/>
    <col min="5715" max="5722" width="7.140625" style="363" customWidth="1"/>
    <col min="5723" max="5727" width="7.140625" style="363" bestFit="1" customWidth="1"/>
    <col min="5728" max="5728" width="7.140625" style="363" customWidth="1"/>
    <col min="5729" max="5729" width="7.140625" style="363" bestFit="1" customWidth="1"/>
    <col min="5730" max="5888" width="11.28515625" style="363"/>
    <col min="5889" max="5889" width="2" style="363" customWidth="1"/>
    <col min="5890" max="5890" width="45.85546875" style="363" customWidth="1"/>
    <col min="5891" max="5891" width="8.140625" style="363" bestFit="1" customWidth="1"/>
    <col min="5892" max="5892" width="6.7109375" style="363" bestFit="1" customWidth="1"/>
    <col min="5893" max="5894" width="6" style="363" customWidth="1"/>
    <col min="5895" max="5920" width="7.140625" style="363" customWidth="1"/>
    <col min="5921" max="5921" width="7.140625" style="363" bestFit="1" customWidth="1"/>
    <col min="5922" max="5922" width="0.85546875" style="363" customWidth="1"/>
    <col min="5923" max="5923" width="8.140625" style="363" bestFit="1" customWidth="1"/>
    <col min="5924" max="5924" width="6.7109375" style="363" bestFit="1" customWidth="1"/>
    <col min="5925" max="5938" width="6" style="363" customWidth="1"/>
    <col min="5939" max="5950" width="7.140625" style="363" customWidth="1"/>
    <col min="5951" max="5952" width="7.28515625" style="363" customWidth="1"/>
    <col min="5953" max="5953" width="7.140625" style="363" customWidth="1"/>
    <col min="5954" max="5954" width="1.28515625" style="363" customWidth="1"/>
    <col min="5955" max="5955" width="8.140625" style="363" bestFit="1" customWidth="1"/>
    <col min="5956" max="5956" width="6.7109375" style="363" bestFit="1" customWidth="1"/>
    <col min="5957" max="5957" width="6" style="363" bestFit="1" customWidth="1"/>
    <col min="5958" max="5970" width="6" style="363" customWidth="1"/>
    <col min="5971" max="5978" width="7.140625" style="363" customWidth="1"/>
    <col min="5979" max="5983" width="7.140625" style="363" bestFit="1" customWidth="1"/>
    <col min="5984" max="5984" width="7.140625" style="363" customWidth="1"/>
    <col min="5985" max="5985" width="7.140625" style="363" bestFit="1" customWidth="1"/>
    <col min="5986" max="6144" width="11.28515625" style="363"/>
    <col min="6145" max="6145" width="2" style="363" customWidth="1"/>
    <col min="6146" max="6146" width="45.85546875" style="363" customWidth="1"/>
    <col min="6147" max="6147" width="8.140625" style="363" bestFit="1" customWidth="1"/>
    <col min="6148" max="6148" width="6.7109375" style="363" bestFit="1" customWidth="1"/>
    <col min="6149" max="6150" width="6" style="363" customWidth="1"/>
    <col min="6151" max="6176" width="7.140625" style="363" customWidth="1"/>
    <col min="6177" max="6177" width="7.140625" style="363" bestFit="1" customWidth="1"/>
    <col min="6178" max="6178" width="0.85546875" style="363" customWidth="1"/>
    <col min="6179" max="6179" width="8.140625" style="363" bestFit="1" customWidth="1"/>
    <col min="6180" max="6180" width="6.7109375" style="363" bestFit="1" customWidth="1"/>
    <col min="6181" max="6194" width="6" style="363" customWidth="1"/>
    <col min="6195" max="6206" width="7.140625" style="363" customWidth="1"/>
    <col min="6207" max="6208" width="7.28515625" style="363" customWidth="1"/>
    <col min="6209" max="6209" width="7.140625" style="363" customWidth="1"/>
    <col min="6210" max="6210" width="1.28515625" style="363" customWidth="1"/>
    <col min="6211" max="6211" width="8.140625" style="363" bestFit="1" customWidth="1"/>
    <col min="6212" max="6212" width="6.7109375" style="363" bestFit="1" customWidth="1"/>
    <col min="6213" max="6213" width="6" style="363" bestFit="1" customWidth="1"/>
    <col min="6214" max="6226" width="6" style="363" customWidth="1"/>
    <col min="6227" max="6234" width="7.140625" style="363" customWidth="1"/>
    <col min="6235" max="6239" width="7.140625" style="363" bestFit="1" customWidth="1"/>
    <col min="6240" max="6240" width="7.140625" style="363" customWidth="1"/>
    <col min="6241" max="6241" width="7.140625" style="363" bestFit="1" customWidth="1"/>
    <col min="6242" max="6400" width="11.28515625" style="363"/>
    <col min="6401" max="6401" width="2" style="363" customWidth="1"/>
    <col min="6402" max="6402" width="45.85546875" style="363" customWidth="1"/>
    <col min="6403" max="6403" width="8.140625" style="363" bestFit="1" customWidth="1"/>
    <col min="6404" max="6404" width="6.7109375" style="363" bestFit="1" customWidth="1"/>
    <col min="6405" max="6406" width="6" style="363" customWidth="1"/>
    <col min="6407" max="6432" width="7.140625" style="363" customWidth="1"/>
    <col min="6433" max="6433" width="7.140625" style="363" bestFit="1" customWidth="1"/>
    <col min="6434" max="6434" width="0.85546875" style="363" customWidth="1"/>
    <col min="6435" max="6435" width="8.140625" style="363" bestFit="1" customWidth="1"/>
    <col min="6436" max="6436" width="6.7109375" style="363" bestFit="1" customWidth="1"/>
    <col min="6437" max="6450" width="6" style="363" customWidth="1"/>
    <col min="6451" max="6462" width="7.140625" style="363" customWidth="1"/>
    <col min="6463" max="6464" width="7.28515625" style="363" customWidth="1"/>
    <col min="6465" max="6465" width="7.140625" style="363" customWidth="1"/>
    <col min="6466" max="6466" width="1.28515625" style="363" customWidth="1"/>
    <col min="6467" max="6467" width="8.140625" style="363" bestFit="1" customWidth="1"/>
    <col min="6468" max="6468" width="6.7109375" style="363" bestFit="1" customWidth="1"/>
    <col min="6469" max="6469" width="6" style="363" bestFit="1" customWidth="1"/>
    <col min="6470" max="6482" width="6" style="363" customWidth="1"/>
    <col min="6483" max="6490" width="7.140625" style="363" customWidth="1"/>
    <col min="6491" max="6495" width="7.140625" style="363" bestFit="1" customWidth="1"/>
    <col min="6496" max="6496" width="7.140625" style="363" customWidth="1"/>
    <col min="6497" max="6497" width="7.140625" style="363" bestFit="1" customWidth="1"/>
    <col min="6498" max="6656" width="11.28515625" style="363"/>
    <col min="6657" max="6657" width="2" style="363" customWidth="1"/>
    <col min="6658" max="6658" width="45.85546875" style="363" customWidth="1"/>
    <col min="6659" max="6659" width="8.140625" style="363" bestFit="1" customWidth="1"/>
    <col min="6660" max="6660" width="6.7109375" style="363" bestFit="1" customWidth="1"/>
    <col min="6661" max="6662" width="6" style="363" customWidth="1"/>
    <col min="6663" max="6688" width="7.140625" style="363" customWidth="1"/>
    <col min="6689" max="6689" width="7.140625" style="363" bestFit="1" customWidth="1"/>
    <col min="6690" max="6690" width="0.85546875" style="363" customWidth="1"/>
    <col min="6691" max="6691" width="8.140625" style="363" bestFit="1" customWidth="1"/>
    <col min="6692" max="6692" width="6.7109375" style="363" bestFit="1" customWidth="1"/>
    <col min="6693" max="6706" width="6" style="363" customWidth="1"/>
    <col min="6707" max="6718" width="7.140625" style="363" customWidth="1"/>
    <col min="6719" max="6720" width="7.28515625" style="363" customWidth="1"/>
    <col min="6721" max="6721" width="7.140625" style="363" customWidth="1"/>
    <col min="6722" max="6722" width="1.28515625" style="363" customWidth="1"/>
    <col min="6723" max="6723" width="8.140625" style="363" bestFit="1" customWidth="1"/>
    <col min="6724" max="6724" width="6.7109375" style="363" bestFit="1" customWidth="1"/>
    <col min="6725" max="6725" width="6" style="363" bestFit="1" customWidth="1"/>
    <col min="6726" max="6738" width="6" style="363" customWidth="1"/>
    <col min="6739" max="6746" width="7.140625" style="363" customWidth="1"/>
    <col min="6747" max="6751" width="7.140625" style="363" bestFit="1" customWidth="1"/>
    <col min="6752" max="6752" width="7.140625" style="363" customWidth="1"/>
    <col min="6753" max="6753" width="7.140625" style="363" bestFit="1" customWidth="1"/>
    <col min="6754" max="6912" width="11.28515625" style="363"/>
    <col min="6913" max="6913" width="2" style="363" customWidth="1"/>
    <col min="6914" max="6914" width="45.85546875" style="363" customWidth="1"/>
    <col min="6915" max="6915" width="8.140625" style="363" bestFit="1" customWidth="1"/>
    <col min="6916" max="6916" width="6.7109375" style="363" bestFit="1" customWidth="1"/>
    <col min="6917" max="6918" width="6" style="363" customWidth="1"/>
    <col min="6919" max="6944" width="7.140625" style="363" customWidth="1"/>
    <col min="6945" max="6945" width="7.140625" style="363" bestFit="1" customWidth="1"/>
    <col min="6946" max="6946" width="0.85546875" style="363" customWidth="1"/>
    <col min="6947" max="6947" width="8.140625" style="363" bestFit="1" customWidth="1"/>
    <col min="6948" max="6948" width="6.7109375" style="363" bestFit="1" customWidth="1"/>
    <col min="6949" max="6962" width="6" style="363" customWidth="1"/>
    <col min="6963" max="6974" width="7.140625" style="363" customWidth="1"/>
    <col min="6975" max="6976" width="7.28515625" style="363" customWidth="1"/>
    <col min="6977" max="6977" width="7.140625" style="363" customWidth="1"/>
    <col min="6978" max="6978" width="1.28515625" style="363" customWidth="1"/>
    <col min="6979" max="6979" width="8.140625" style="363" bestFit="1" customWidth="1"/>
    <col min="6980" max="6980" width="6.7109375" style="363" bestFit="1" customWidth="1"/>
    <col min="6981" max="6981" width="6" style="363" bestFit="1" customWidth="1"/>
    <col min="6982" max="6994" width="6" style="363" customWidth="1"/>
    <col min="6995" max="7002" width="7.140625" style="363" customWidth="1"/>
    <col min="7003" max="7007" width="7.140625" style="363" bestFit="1" customWidth="1"/>
    <col min="7008" max="7008" width="7.140625" style="363" customWidth="1"/>
    <col min="7009" max="7009" width="7.140625" style="363" bestFit="1" customWidth="1"/>
    <col min="7010" max="7168" width="11.28515625" style="363"/>
    <col min="7169" max="7169" width="2" style="363" customWidth="1"/>
    <col min="7170" max="7170" width="45.85546875" style="363" customWidth="1"/>
    <col min="7171" max="7171" width="8.140625" style="363" bestFit="1" customWidth="1"/>
    <col min="7172" max="7172" width="6.7109375" style="363" bestFit="1" customWidth="1"/>
    <col min="7173" max="7174" width="6" style="363" customWidth="1"/>
    <col min="7175" max="7200" width="7.140625" style="363" customWidth="1"/>
    <col min="7201" max="7201" width="7.140625" style="363" bestFit="1" customWidth="1"/>
    <col min="7202" max="7202" width="0.85546875" style="363" customWidth="1"/>
    <col min="7203" max="7203" width="8.140625" style="363" bestFit="1" customWidth="1"/>
    <col min="7204" max="7204" width="6.7109375" style="363" bestFit="1" customWidth="1"/>
    <col min="7205" max="7218" width="6" style="363" customWidth="1"/>
    <col min="7219" max="7230" width="7.140625" style="363" customWidth="1"/>
    <col min="7231" max="7232" width="7.28515625" style="363" customWidth="1"/>
    <col min="7233" max="7233" width="7.140625" style="363" customWidth="1"/>
    <col min="7234" max="7234" width="1.28515625" style="363" customWidth="1"/>
    <col min="7235" max="7235" width="8.140625" style="363" bestFit="1" customWidth="1"/>
    <col min="7236" max="7236" width="6.7109375" style="363" bestFit="1" customWidth="1"/>
    <col min="7237" max="7237" width="6" style="363" bestFit="1" customWidth="1"/>
    <col min="7238" max="7250" width="6" style="363" customWidth="1"/>
    <col min="7251" max="7258" width="7.140625" style="363" customWidth="1"/>
    <col min="7259" max="7263" width="7.140625" style="363" bestFit="1" customWidth="1"/>
    <col min="7264" max="7264" width="7.140625" style="363" customWidth="1"/>
    <col min="7265" max="7265" width="7.140625" style="363" bestFit="1" customWidth="1"/>
    <col min="7266" max="7424" width="11.28515625" style="363"/>
    <col min="7425" max="7425" width="2" style="363" customWidth="1"/>
    <col min="7426" max="7426" width="45.85546875" style="363" customWidth="1"/>
    <col min="7427" max="7427" width="8.140625" style="363" bestFit="1" customWidth="1"/>
    <col min="7428" max="7428" width="6.7109375" style="363" bestFit="1" customWidth="1"/>
    <col min="7429" max="7430" width="6" style="363" customWidth="1"/>
    <col min="7431" max="7456" width="7.140625" style="363" customWidth="1"/>
    <col min="7457" max="7457" width="7.140625" style="363" bestFit="1" customWidth="1"/>
    <col min="7458" max="7458" width="0.85546875" style="363" customWidth="1"/>
    <col min="7459" max="7459" width="8.140625" style="363" bestFit="1" customWidth="1"/>
    <col min="7460" max="7460" width="6.7109375" style="363" bestFit="1" customWidth="1"/>
    <col min="7461" max="7474" width="6" style="363" customWidth="1"/>
    <col min="7475" max="7486" width="7.140625" style="363" customWidth="1"/>
    <col min="7487" max="7488" width="7.28515625" style="363" customWidth="1"/>
    <col min="7489" max="7489" width="7.140625" style="363" customWidth="1"/>
    <col min="7490" max="7490" width="1.28515625" style="363" customWidth="1"/>
    <col min="7491" max="7491" width="8.140625" style="363" bestFit="1" customWidth="1"/>
    <col min="7492" max="7492" width="6.7109375" style="363" bestFit="1" customWidth="1"/>
    <col min="7493" max="7493" width="6" style="363" bestFit="1" customWidth="1"/>
    <col min="7494" max="7506" width="6" style="363" customWidth="1"/>
    <col min="7507" max="7514" width="7.140625" style="363" customWidth="1"/>
    <col min="7515" max="7519" width="7.140625" style="363" bestFit="1" customWidth="1"/>
    <col min="7520" max="7520" width="7.140625" style="363" customWidth="1"/>
    <col min="7521" max="7521" width="7.140625" style="363" bestFit="1" customWidth="1"/>
    <col min="7522" max="7680" width="11.28515625" style="363"/>
    <col min="7681" max="7681" width="2" style="363" customWidth="1"/>
    <col min="7682" max="7682" width="45.85546875" style="363" customWidth="1"/>
    <col min="7683" max="7683" width="8.140625" style="363" bestFit="1" customWidth="1"/>
    <col min="7684" max="7684" width="6.7109375" style="363" bestFit="1" customWidth="1"/>
    <col min="7685" max="7686" width="6" style="363" customWidth="1"/>
    <col min="7687" max="7712" width="7.140625" style="363" customWidth="1"/>
    <col min="7713" max="7713" width="7.140625" style="363" bestFit="1" customWidth="1"/>
    <col min="7714" max="7714" width="0.85546875" style="363" customWidth="1"/>
    <col min="7715" max="7715" width="8.140625" style="363" bestFit="1" customWidth="1"/>
    <col min="7716" max="7716" width="6.7109375" style="363" bestFit="1" customWidth="1"/>
    <col min="7717" max="7730" width="6" style="363" customWidth="1"/>
    <col min="7731" max="7742" width="7.140625" style="363" customWidth="1"/>
    <col min="7743" max="7744" width="7.28515625" style="363" customWidth="1"/>
    <col min="7745" max="7745" width="7.140625" style="363" customWidth="1"/>
    <col min="7746" max="7746" width="1.28515625" style="363" customWidth="1"/>
    <col min="7747" max="7747" width="8.140625" style="363" bestFit="1" customWidth="1"/>
    <col min="7748" max="7748" width="6.7109375" style="363" bestFit="1" customWidth="1"/>
    <col min="7749" max="7749" width="6" style="363" bestFit="1" customWidth="1"/>
    <col min="7750" max="7762" width="6" style="363" customWidth="1"/>
    <col min="7763" max="7770" width="7.140625" style="363" customWidth="1"/>
    <col min="7771" max="7775" width="7.140625" style="363" bestFit="1" customWidth="1"/>
    <col min="7776" max="7776" width="7.140625" style="363" customWidth="1"/>
    <col min="7777" max="7777" width="7.140625" style="363" bestFit="1" customWidth="1"/>
    <col min="7778" max="7936" width="11.28515625" style="363"/>
    <col min="7937" max="7937" width="2" style="363" customWidth="1"/>
    <col min="7938" max="7938" width="45.85546875" style="363" customWidth="1"/>
    <col min="7939" max="7939" width="8.140625" style="363" bestFit="1" customWidth="1"/>
    <col min="7940" max="7940" width="6.7109375" style="363" bestFit="1" customWidth="1"/>
    <col min="7941" max="7942" width="6" style="363" customWidth="1"/>
    <col min="7943" max="7968" width="7.140625" style="363" customWidth="1"/>
    <col min="7969" max="7969" width="7.140625" style="363" bestFit="1" customWidth="1"/>
    <col min="7970" max="7970" width="0.85546875" style="363" customWidth="1"/>
    <col min="7971" max="7971" width="8.140625" style="363" bestFit="1" customWidth="1"/>
    <col min="7972" max="7972" width="6.7109375" style="363" bestFit="1" customWidth="1"/>
    <col min="7973" max="7986" width="6" style="363" customWidth="1"/>
    <col min="7987" max="7998" width="7.140625" style="363" customWidth="1"/>
    <col min="7999" max="8000" width="7.28515625" style="363" customWidth="1"/>
    <col min="8001" max="8001" width="7.140625" style="363" customWidth="1"/>
    <col min="8002" max="8002" width="1.28515625" style="363" customWidth="1"/>
    <col min="8003" max="8003" width="8.140625" style="363" bestFit="1" customWidth="1"/>
    <col min="8004" max="8004" width="6.7109375" style="363" bestFit="1" customWidth="1"/>
    <col min="8005" max="8005" width="6" style="363" bestFit="1" customWidth="1"/>
    <col min="8006" max="8018" width="6" style="363" customWidth="1"/>
    <col min="8019" max="8026" width="7.140625" style="363" customWidth="1"/>
    <col min="8027" max="8031" width="7.140625" style="363" bestFit="1" customWidth="1"/>
    <col min="8032" max="8032" width="7.140625" style="363" customWidth="1"/>
    <col min="8033" max="8033" width="7.140625" style="363" bestFit="1" customWidth="1"/>
    <col min="8034" max="8192" width="11.28515625" style="363"/>
    <col min="8193" max="8193" width="2" style="363" customWidth="1"/>
    <col min="8194" max="8194" width="45.85546875" style="363" customWidth="1"/>
    <col min="8195" max="8195" width="8.140625" style="363" bestFit="1" customWidth="1"/>
    <col min="8196" max="8196" width="6.7109375" style="363" bestFit="1" customWidth="1"/>
    <col min="8197" max="8198" width="6" style="363" customWidth="1"/>
    <col min="8199" max="8224" width="7.140625" style="363" customWidth="1"/>
    <col min="8225" max="8225" width="7.140625" style="363" bestFit="1" customWidth="1"/>
    <col min="8226" max="8226" width="0.85546875" style="363" customWidth="1"/>
    <col min="8227" max="8227" width="8.140625" style="363" bestFit="1" customWidth="1"/>
    <col min="8228" max="8228" width="6.7109375" style="363" bestFit="1" customWidth="1"/>
    <col min="8229" max="8242" width="6" style="363" customWidth="1"/>
    <col min="8243" max="8254" width="7.140625" style="363" customWidth="1"/>
    <col min="8255" max="8256" width="7.28515625" style="363" customWidth="1"/>
    <col min="8257" max="8257" width="7.140625" style="363" customWidth="1"/>
    <col min="8258" max="8258" width="1.28515625" style="363" customWidth="1"/>
    <col min="8259" max="8259" width="8.140625" style="363" bestFit="1" customWidth="1"/>
    <col min="8260" max="8260" width="6.7109375" style="363" bestFit="1" customWidth="1"/>
    <col min="8261" max="8261" width="6" style="363" bestFit="1" customWidth="1"/>
    <col min="8262" max="8274" width="6" style="363" customWidth="1"/>
    <col min="8275" max="8282" width="7.140625" style="363" customWidth="1"/>
    <col min="8283" max="8287" width="7.140625" style="363" bestFit="1" customWidth="1"/>
    <col min="8288" max="8288" width="7.140625" style="363" customWidth="1"/>
    <col min="8289" max="8289" width="7.140625" style="363" bestFit="1" customWidth="1"/>
    <col min="8290" max="8448" width="11.28515625" style="363"/>
    <col min="8449" max="8449" width="2" style="363" customWidth="1"/>
    <col min="8450" max="8450" width="45.85546875" style="363" customWidth="1"/>
    <col min="8451" max="8451" width="8.140625" style="363" bestFit="1" customWidth="1"/>
    <col min="8452" max="8452" width="6.7109375" style="363" bestFit="1" customWidth="1"/>
    <col min="8453" max="8454" width="6" style="363" customWidth="1"/>
    <col min="8455" max="8480" width="7.140625" style="363" customWidth="1"/>
    <col min="8481" max="8481" width="7.140625" style="363" bestFit="1" customWidth="1"/>
    <col min="8482" max="8482" width="0.85546875" style="363" customWidth="1"/>
    <col min="8483" max="8483" width="8.140625" style="363" bestFit="1" customWidth="1"/>
    <col min="8484" max="8484" width="6.7109375" style="363" bestFit="1" customWidth="1"/>
    <col min="8485" max="8498" width="6" style="363" customWidth="1"/>
    <col min="8499" max="8510" width="7.140625" style="363" customWidth="1"/>
    <col min="8511" max="8512" width="7.28515625" style="363" customWidth="1"/>
    <col min="8513" max="8513" width="7.140625" style="363" customWidth="1"/>
    <col min="8514" max="8514" width="1.28515625" style="363" customWidth="1"/>
    <col min="8515" max="8515" width="8.140625" style="363" bestFit="1" customWidth="1"/>
    <col min="8516" max="8516" width="6.7109375" style="363" bestFit="1" customWidth="1"/>
    <col min="8517" max="8517" width="6" style="363" bestFit="1" customWidth="1"/>
    <col min="8518" max="8530" width="6" style="363" customWidth="1"/>
    <col min="8531" max="8538" width="7.140625" style="363" customWidth="1"/>
    <col min="8539" max="8543" width="7.140625" style="363" bestFit="1" customWidth="1"/>
    <col min="8544" max="8544" width="7.140625" style="363" customWidth="1"/>
    <col min="8545" max="8545" width="7.140625" style="363" bestFit="1" customWidth="1"/>
    <col min="8546" max="8704" width="11.28515625" style="363"/>
    <col min="8705" max="8705" width="2" style="363" customWidth="1"/>
    <col min="8706" max="8706" width="45.85546875" style="363" customWidth="1"/>
    <col min="8707" max="8707" width="8.140625" style="363" bestFit="1" customWidth="1"/>
    <col min="8708" max="8708" width="6.7109375" style="363" bestFit="1" customWidth="1"/>
    <col min="8709" max="8710" width="6" style="363" customWidth="1"/>
    <col min="8711" max="8736" width="7.140625" style="363" customWidth="1"/>
    <col min="8737" max="8737" width="7.140625" style="363" bestFit="1" customWidth="1"/>
    <col min="8738" max="8738" width="0.85546875" style="363" customWidth="1"/>
    <col min="8739" max="8739" width="8.140625" style="363" bestFit="1" customWidth="1"/>
    <col min="8740" max="8740" width="6.7109375" style="363" bestFit="1" customWidth="1"/>
    <col min="8741" max="8754" width="6" style="363" customWidth="1"/>
    <col min="8755" max="8766" width="7.140625" style="363" customWidth="1"/>
    <col min="8767" max="8768" width="7.28515625" style="363" customWidth="1"/>
    <col min="8769" max="8769" width="7.140625" style="363" customWidth="1"/>
    <col min="8770" max="8770" width="1.28515625" style="363" customWidth="1"/>
    <col min="8771" max="8771" width="8.140625" style="363" bestFit="1" customWidth="1"/>
    <col min="8772" max="8772" width="6.7109375" style="363" bestFit="1" customWidth="1"/>
    <col min="8773" max="8773" width="6" style="363" bestFit="1" customWidth="1"/>
    <col min="8774" max="8786" width="6" style="363" customWidth="1"/>
    <col min="8787" max="8794" width="7.140625" style="363" customWidth="1"/>
    <col min="8795" max="8799" width="7.140625" style="363" bestFit="1" customWidth="1"/>
    <col min="8800" max="8800" width="7.140625" style="363" customWidth="1"/>
    <col min="8801" max="8801" width="7.140625" style="363" bestFit="1" customWidth="1"/>
    <col min="8802" max="8960" width="11.28515625" style="363"/>
    <col min="8961" max="8961" width="2" style="363" customWidth="1"/>
    <col min="8962" max="8962" width="45.85546875" style="363" customWidth="1"/>
    <col min="8963" max="8963" width="8.140625" style="363" bestFit="1" customWidth="1"/>
    <col min="8964" max="8964" width="6.7109375" style="363" bestFit="1" customWidth="1"/>
    <col min="8965" max="8966" width="6" style="363" customWidth="1"/>
    <col min="8967" max="8992" width="7.140625" style="363" customWidth="1"/>
    <col min="8993" max="8993" width="7.140625" style="363" bestFit="1" customWidth="1"/>
    <col min="8994" max="8994" width="0.85546875" style="363" customWidth="1"/>
    <col min="8995" max="8995" width="8.140625" style="363" bestFit="1" customWidth="1"/>
    <col min="8996" max="8996" width="6.7109375" style="363" bestFit="1" customWidth="1"/>
    <col min="8997" max="9010" width="6" style="363" customWidth="1"/>
    <col min="9011" max="9022" width="7.140625" style="363" customWidth="1"/>
    <col min="9023" max="9024" width="7.28515625" style="363" customWidth="1"/>
    <col min="9025" max="9025" width="7.140625" style="363" customWidth="1"/>
    <col min="9026" max="9026" width="1.28515625" style="363" customWidth="1"/>
    <col min="9027" max="9027" width="8.140625" style="363" bestFit="1" customWidth="1"/>
    <col min="9028" max="9028" width="6.7109375" style="363" bestFit="1" customWidth="1"/>
    <col min="9029" max="9029" width="6" style="363" bestFit="1" customWidth="1"/>
    <col min="9030" max="9042" width="6" style="363" customWidth="1"/>
    <col min="9043" max="9050" width="7.140625" style="363" customWidth="1"/>
    <col min="9051" max="9055" width="7.140625" style="363" bestFit="1" customWidth="1"/>
    <col min="9056" max="9056" width="7.140625" style="363" customWidth="1"/>
    <col min="9057" max="9057" width="7.140625" style="363" bestFit="1" customWidth="1"/>
    <col min="9058" max="9216" width="11.28515625" style="363"/>
    <col min="9217" max="9217" width="2" style="363" customWidth="1"/>
    <col min="9218" max="9218" width="45.85546875" style="363" customWidth="1"/>
    <col min="9219" max="9219" width="8.140625" style="363" bestFit="1" customWidth="1"/>
    <col min="9220" max="9220" width="6.7109375" style="363" bestFit="1" customWidth="1"/>
    <col min="9221" max="9222" width="6" style="363" customWidth="1"/>
    <col min="9223" max="9248" width="7.140625" style="363" customWidth="1"/>
    <col min="9249" max="9249" width="7.140625" style="363" bestFit="1" customWidth="1"/>
    <col min="9250" max="9250" width="0.85546875" style="363" customWidth="1"/>
    <col min="9251" max="9251" width="8.140625" style="363" bestFit="1" customWidth="1"/>
    <col min="9252" max="9252" width="6.7109375" style="363" bestFit="1" customWidth="1"/>
    <col min="9253" max="9266" width="6" style="363" customWidth="1"/>
    <col min="9267" max="9278" width="7.140625" style="363" customWidth="1"/>
    <col min="9279" max="9280" width="7.28515625" style="363" customWidth="1"/>
    <col min="9281" max="9281" width="7.140625" style="363" customWidth="1"/>
    <col min="9282" max="9282" width="1.28515625" style="363" customWidth="1"/>
    <col min="9283" max="9283" width="8.140625" style="363" bestFit="1" customWidth="1"/>
    <col min="9284" max="9284" width="6.7109375" style="363" bestFit="1" customWidth="1"/>
    <col min="9285" max="9285" width="6" style="363" bestFit="1" customWidth="1"/>
    <col min="9286" max="9298" width="6" style="363" customWidth="1"/>
    <col min="9299" max="9306" width="7.140625" style="363" customWidth="1"/>
    <col min="9307" max="9311" width="7.140625" style="363" bestFit="1" customWidth="1"/>
    <col min="9312" max="9312" width="7.140625" style="363" customWidth="1"/>
    <col min="9313" max="9313" width="7.140625" style="363" bestFit="1" customWidth="1"/>
    <col min="9314" max="9472" width="11.28515625" style="363"/>
    <col min="9473" max="9473" width="2" style="363" customWidth="1"/>
    <col min="9474" max="9474" width="45.85546875" style="363" customWidth="1"/>
    <col min="9475" max="9475" width="8.140625" style="363" bestFit="1" customWidth="1"/>
    <col min="9476" max="9476" width="6.7109375" style="363" bestFit="1" customWidth="1"/>
    <col min="9477" max="9478" width="6" style="363" customWidth="1"/>
    <col min="9479" max="9504" width="7.140625" style="363" customWidth="1"/>
    <col min="9505" max="9505" width="7.140625" style="363" bestFit="1" customWidth="1"/>
    <col min="9506" max="9506" width="0.85546875" style="363" customWidth="1"/>
    <col min="9507" max="9507" width="8.140625" style="363" bestFit="1" customWidth="1"/>
    <col min="9508" max="9508" width="6.7109375" style="363" bestFit="1" customWidth="1"/>
    <col min="9509" max="9522" width="6" style="363" customWidth="1"/>
    <col min="9523" max="9534" width="7.140625" style="363" customWidth="1"/>
    <col min="9535" max="9536" width="7.28515625" style="363" customWidth="1"/>
    <col min="9537" max="9537" width="7.140625" style="363" customWidth="1"/>
    <col min="9538" max="9538" width="1.28515625" style="363" customWidth="1"/>
    <col min="9539" max="9539" width="8.140625" style="363" bestFit="1" customWidth="1"/>
    <col min="9540" max="9540" width="6.7109375" style="363" bestFit="1" customWidth="1"/>
    <col min="9541" max="9541" width="6" style="363" bestFit="1" customWidth="1"/>
    <col min="9542" max="9554" width="6" style="363" customWidth="1"/>
    <col min="9555" max="9562" width="7.140625" style="363" customWidth="1"/>
    <col min="9563" max="9567" width="7.140625" style="363" bestFit="1" customWidth="1"/>
    <col min="9568" max="9568" width="7.140625" style="363" customWidth="1"/>
    <col min="9569" max="9569" width="7.140625" style="363" bestFit="1" customWidth="1"/>
    <col min="9570" max="9728" width="11.28515625" style="363"/>
    <col min="9729" max="9729" width="2" style="363" customWidth="1"/>
    <col min="9730" max="9730" width="45.85546875" style="363" customWidth="1"/>
    <col min="9731" max="9731" width="8.140625" style="363" bestFit="1" customWidth="1"/>
    <col min="9732" max="9732" width="6.7109375" style="363" bestFit="1" customWidth="1"/>
    <col min="9733" max="9734" width="6" style="363" customWidth="1"/>
    <col min="9735" max="9760" width="7.140625" style="363" customWidth="1"/>
    <col min="9761" max="9761" width="7.140625" style="363" bestFit="1" customWidth="1"/>
    <col min="9762" max="9762" width="0.85546875" style="363" customWidth="1"/>
    <col min="9763" max="9763" width="8.140625" style="363" bestFit="1" customWidth="1"/>
    <col min="9764" max="9764" width="6.7109375" style="363" bestFit="1" customWidth="1"/>
    <col min="9765" max="9778" width="6" style="363" customWidth="1"/>
    <col min="9779" max="9790" width="7.140625" style="363" customWidth="1"/>
    <col min="9791" max="9792" width="7.28515625" style="363" customWidth="1"/>
    <col min="9793" max="9793" width="7.140625" style="363" customWidth="1"/>
    <col min="9794" max="9794" width="1.28515625" style="363" customWidth="1"/>
    <col min="9795" max="9795" width="8.140625" style="363" bestFit="1" customWidth="1"/>
    <col min="9796" max="9796" width="6.7109375" style="363" bestFit="1" customWidth="1"/>
    <col min="9797" max="9797" width="6" style="363" bestFit="1" customWidth="1"/>
    <col min="9798" max="9810" width="6" style="363" customWidth="1"/>
    <col min="9811" max="9818" width="7.140625" style="363" customWidth="1"/>
    <col min="9819" max="9823" width="7.140625" style="363" bestFit="1" customWidth="1"/>
    <col min="9824" max="9824" width="7.140625" style="363" customWidth="1"/>
    <col min="9825" max="9825" width="7.140625" style="363" bestFit="1" customWidth="1"/>
    <col min="9826" max="9984" width="11.28515625" style="363"/>
    <col min="9985" max="9985" width="2" style="363" customWidth="1"/>
    <col min="9986" max="9986" width="45.85546875" style="363" customWidth="1"/>
    <col min="9987" max="9987" width="8.140625" style="363" bestFit="1" customWidth="1"/>
    <col min="9988" max="9988" width="6.7109375" style="363" bestFit="1" customWidth="1"/>
    <col min="9989" max="9990" width="6" style="363" customWidth="1"/>
    <col min="9991" max="10016" width="7.140625" style="363" customWidth="1"/>
    <col min="10017" max="10017" width="7.140625" style="363" bestFit="1" customWidth="1"/>
    <col min="10018" max="10018" width="0.85546875" style="363" customWidth="1"/>
    <col min="10019" max="10019" width="8.140625" style="363" bestFit="1" customWidth="1"/>
    <col min="10020" max="10020" width="6.7109375" style="363" bestFit="1" customWidth="1"/>
    <col min="10021" max="10034" width="6" style="363" customWidth="1"/>
    <col min="10035" max="10046" width="7.140625" style="363" customWidth="1"/>
    <col min="10047" max="10048" width="7.28515625" style="363" customWidth="1"/>
    <col min="10049" max="10049" width="7.140625" style="363" customWidth="1"/>
    <col min="10050" max="10050" width="1.28515625" style="363" customWidth="1"/>
    <col min="10051" max="10051" width="8.140625" style="363" bestFit="1" customWidth="1"/>
    <col min="10052" max="10052" width="6.7109375" style="363" bestFit="1" customWidth="1"/>
    <col min="10053" max="10053" width="6" style="363" bestFit="1" customWidth="1"/>
    <col min="10054" max="10066" width="6" style="363" customWidth="1"/>
    <col min="10067" max="10074" width="7.140625" style="363" customWidth="1"/>
    <col min="10075" max="10079" width="7.140625" style="363" bestFit="1" customWidth="1"/>
    <col min="10080" max="10080" width="7.140625" style="363" customWidth="1"/>
    <col min="10081" max="10081" width="7.140625" style="363" bestFit="1" customWidth="1"/>
    <col min="10082" max="10240" width="11.28515625" style="363"/>
    <col min="10241" max="10241" width="2" style="363" customWidth="1"/>
    <col min="10242" max="10242" width="45.85546875" style="363" customWidth="1"/>
    <col min="10243" max="10243" width="8.140625" style="363" bestFit="1" customWidth="1"/>
    <col min="10244" max="10244" width="6.7109375" style="363" bestFit="1" customWidth="1"/>
    <col min="10245" max="10246" width="6" style="363" customWidth="1"/>
    <col min="10247" max="10272" width="7.140625" style="363" customWidth="1"/>
    <col min="10273" max="10273" width="7.140625" style="363" bestFit="1" customWidth="1"/>
    <col min="10274" max="10274" width="0.85546875" style="363" customWidth="1"/>
    <col min="10275" max="10275" width="8.140625" style="363" bestFit="1" customWidth="1"/>
    <col min="10276" max="10276" width="6.7109375" style="363" bestFit="1" customWidth="1"/>
    <col min="10277" max="10290" width="6" style="363" customWidth="1"/>
    <col min="10291" max="10302" width="7.140625" style="363" customWidth="1"/>
    <col min="10303" max="10304" width="7.28515625" style="363" customWidth="1"/>
    <col min="10305" max="10305" width="7.140625" style="363" customWidth="1"/>
    <col min="10306" max="10306" width="1.28515625" style="363" customWidth="1"/>
    <col min="10307" max="10307" width="8.140625" style="363" bestFit="1" customWidth="1"/>
    <col min="10308" max="10308" width="6.7109375" style="363" bestFit="1" customWidth="1"/>
    <col min="10309" max="10309" width="6" style="363" bestFit="1" customWidth="1"/>
    <col min="10310" max="10322" width="6" style="363" customWidth="1"/>
    <col min="10323" max="10330" width="7.140625" style="363" customWidth="1"/>
    <col min="10331" max="10335" width="7.140625" style="363" bestFit="1" customWidth="1"/>
    <col min="10336" max="10336" width="7.140625" style="363" customWidth="1"/>
    <col min="10337" max="10337" width="7.140625" style="363" bestFit="1" customWidth="1"/>
    <col min="10338" max="10496" width="11.28515625" style="363"/>
    <col min="10497" max="10497" width="2" style="363" customWidth="1"/>
    <col min="10498" max="10498" width="45.85546875" style="363" customWidth="1"/>
    <col min="10499" max="10499" width="8.140625" style="363" bestFit="1" customWidth="1"/>
    <col min="10500" max="10500" width="6.7109375" style="363" bestFit="1" customWidth="1"/>
    <col min="10501" max="10502" width="6" style="363" customWidth="1"/>
    <col min="10503" max="10528" width="7.140625" style="363" customWidth="1"/>
    <col min="10529" max="10529" width="7.140625" style="363" bestFit="1" customWidth="1"/>
    <col min="10530" max="10530" width="0.85546875" style="363" customWidth="1"/>
    <col min="10531" max="10531" width="8.140625" style="363" bestFit="1" customWidth="1"/>
    <col min="10532" max="10532" width="6.7109375" style="363" bestFit="1" customWidth="1"/>
    <col min="10533" max="10546" width="6" style="363" customWidth="1"/>
    <col min="10547" max="10558" width="7.140625" style="363" customWidth="1"/>
    <col min="10559" max="10560" width="7.28515625" style="363" customWidth="1"/>
    <col min="10561" max="10561" width="7.140625" style="363" customWidth="1"/>
    <col min="10562" max="10562" width="1.28515625" style="363" customWidth="1"/>
    <col min="10563" max="10563" width="8.140625" style="363" bestFit="1" customWidth="1"/>
    <col min="10564" max="10564" width="6.7109375" style="363" bestFit="1" customWidth="1"/>
    <col min="10565" max="10565" width="6" style="363" bestFit="1" customWidth="1"/>
    <col min="10566" max="10578" width="6" style="363" customWidth="1"/>
    <col min="10579" max="10586" width="7.140625" style="363" customWidth="1"/>
    <col min="10587" max="10591" width="7.140625" style="363" bestFit="1" customWidth="1"/>
    <col min="10592" max="10592" width="7.140625" style="363" customWidth="1"/>
    <col min="10593" max="10593" width="7.140625" style="363" bestFit="1" customWidth="1"/>
    <col min="10594" max="10752" width="11.28515625" style="363"/>
    <col min="10753" max="10753" width="2" style="363" customWidth="1"/>
    <col min="10754" max="10754" width="45.85546875" style="363" customWidth="1"/>
    <col min="10755" max="10755" width="8.140625" style="363" bestFit="1" customWidth="1"/>
    <col min="10756" max="10756" width="6.7109375" style="363" bestFit="1" customWidth="1"/>
    <col min="10757" max="10758" width="6" style="363" customWidth="1"/>
    <col min="10759" max="10784" width="7.140625" style="363" customWidth="1"/>
    <col min="10785" max="10785" width="7.140625" style="363" bestFit="1" customWidth="1"/>
    <col min="10786" max="10786" width="0.85546875" style="363" customWidth="1"/>
    <col min="10787" max="10787" width="8.140625" style="363" bestFit="1" customWidth="1"/>
    <col min="10788" max="10788" width="6.7109375" style="363" bestFit="1" customWidth="1"/>
    <col min="10789" max="10802" width="6" style="363" customWidth="1"/>
    <col min="10803" max="10814" width="7.140625" style="363" customWidth="1"/>
    <col min="10815" max="10816" width="7.28515625" style="363" customWidth="1"/>
    <col min="10817" max="10817" width="7.140625" style="363" customWidth="1"/>
    <col min="10818" max="10818" width="1.28515625" style="363" customWidth="1"/>
    <col min="10819" max="10819" width="8.140625" style="363" bestFit="1" customWidth="1"/>
    <col min="10820" max="10820" width="6.7109375" style="363" bestFit="1" customWidth="1"/>
    <col min="10821" max="10821" width="6" style="363" bestFit="1" customWidth="1"/>
    <col min="10822" max="10834" width="6" style="363" customWidth="1"/>
    <col min="10835" max="10842" width="7.140625" style="363" customWidth="1"/>
    <col min="10843" max="10847" width="7.140625" style="363" bestFit="1" customWidth="1"/>
    <col min="10848" max="10848" width="7.140625" style="363" customWidth="1"/>
    <col min="10849" max="10849" width="7.140625" style="363" bestFit="1" customWidth="1"/>
    <col min="10850" max="11008" width="11.28515625" style="363"/>
    <col min="11009" max="11009" width="2" style="363" customWidth="1"/>
    <col min="11010" max="11010" width="45.85546875" style="363" customWidth="1"/>
    <col min="11011" max="11011" width="8.140625" style="363" bestFit="1" customWidth="1"/>
    <col min="11012" max="11012" width="6.7109375" style="363" bestFit="1" customWidth="1"/>
    <col min="11013" max="11014" width="6" style="363" customWidth="1"/>
    <col min="11015" max="11040" width="7.140625" style="363" customWidth="1"/>
    <col min="11041" max="11041" width="7.140625" style="363" bestFit="1" customWidth="1"/>
    <col min="11042" max="11042" width="0.85546875" style="363" customWidth="1"/>
    <col min="11043" max="11043" width="8.140625" style="363" bestFit="1" customWidth="1"/>
    <col min="11044" max="11044" width="6.7109375" style="363" bestFit="1" customWidth="1"/>
    <col min="11045" max="11058" width="6" style="363" customWidth="1"/>
    <col min="11059" max="11070" width="7.140625" style="363" customWidth="1"/>
    <col min="11071" max="11072" width="7.28515625" style="363" customWidth="1"/>
    <col min="11073" max="11073" width="7.140625" style="363" customWidth="1"/>
    <col min="11074" max="11074" width="1.28515625" style="363" customWidth="1"/>
    <col min="11075" max="11075" width="8.140625" style="363" bestFit="1" customWidth="1"/>
    <col min="11076" max="11076" width="6.7109375" style="363" bestFit="1" customWidth="1"/>
    <col min="11077" max="11077" width="6" style="363" bestFit="1" customWidth="1"/>
    <col min="11078" max="11090" width="6" style="363" customWidth="1"/>
    <col min="11091" max="11098" width="7.140625" style="363" customWidth="1"/>
    <col min="11099" max="11103" width="7.140625" style="363" bestFit="1" customWidth="1"/>
    <col min="11104" max="11104" width="7.140625" style="363" customWidth="1"/>
    <col min="11105" max="11105" width="7.140625" style="363" bestFit="1" customWidth="1"/>
    <col min="11106" max="11264" width="11.28515625" style="363"/>
    <col min="11265" max="11265" width="2" style="363" customWidth="1"/>
    <col min="11266" max="11266" width="45.85546875" style="363" customWidth="1"/>
    <col min="11267" max="11267" width="8.140625" style="363" bestFit="1" customWidth="1"/>
    <col min="11268" max="11268" width="6.7109375" style="363" bestFit="1" customWidth="1"/>
    <col min="11269" max="11270" width="6" style="363" customWidth="1"/>
    <col min="11271" max="11296" width="7.140625" style="363" customWidth="1"/>
    <col min="11297" max="11297" width="7.140625" style="363" bestFit="1" customWidth="1"/>
    <col min="11298" max="11298" width="0.85546875" style="363" customWidth="1"/>
    <col min="11299" max="11299" width="8.140625" style="363" bestFit="1" customWidth="1"/>
    <col min="11300" max="11300" width="6.7109375" style="363" bestFit="1" customWidth="1"/>
    <col min="11301" max="11314" width="6" style="363" customWidth="1"/>
    <col min="11315" max="11326" width="7.140625" style="363" customWidth="1"/>
    <col min="11327" max="11328" width="7.28515625" style="363" customWidth="1"/>
    <col min="11329" max="11329" width="7.140625" style="363" customWidth="1"/>
    <col min="11330" max="11330" width="1.28515625" style="363" customWidth="1"/>
    <col min="11331" max="11331" width="8.140625" style="363" bestFit="1" customWidth="1"/>
    <col min="11332" max="11332" width="6.7109375" style="363" bestFit="1" customWidth="1"/>
    <col min="11333" max="11333" width="6" style="363" bestFit="1" customWidth="1"/>
    <col min="11334" max="11346" width="6" style="363" customWidth="1"/>
    <col min="11347" max="11354" width="7.140625" style="363" customWidth="1"/>
    <col min="11355" max="11359" width="7.140625" style="363" bestFit="1" customWidth="1"/>
    <col min="11360" max="11360" width="7.140625" style="363" customWidth="1"/>
    <col min="11361" max="11361" width="7.140625" style="363" bestFit="1" customWidth="1"/>
    <col min="11362" max="11520" width="11.28515625" style="363"/>
    <col min="11521" max="11521" width="2" style="363" customWidth="1"/>
    <col min="11522" max="11522" width="45.85546875" style="363" customWidth="1"/>
    <col min="11523" max="11523" width="8.140625" style="363" bestFit="1" customWidth="1"/>
    <col min="11524" max="11524" width="6.7109375" style="363" bestFit="1" customWidth="1"/>
    <col min="11525" max="11526" width="6" style="363" customWidth="1"/>
    <col min="11527" max="11552" width="7.140625" style="363" customWidth="1"/>
    <col min="11553" max="11553" width="7.140625" style="363" bestFit="1" customWidth="1"/>
    <col min="11554" max="11554" width="0.85546875" style="363" customWidth="1"/>
    <col min="11555" max="11555" width="8.140625" style="363" bestFit="1" customWidth="1"/>
    <col min="11556" max="11556" width="6.7109375" style="363" bestFit="1" customWidth="1"/>
    <col min="11557" max="11570" width="6" style="363" customWidth="1"/>
    <col min="11571" max="11582" width="7.140625" style="363" customWidth="1"/>
    <col min="11583" max="11584" width="7.28515625" style="363" customWidth="1"/>
    <col min="11585" max="11585" width="7.140625" style="363" customWidth="1"/>
    <col min="11586" max="11586" width="1.28515625" style="363" customWidth="1"/>
    <col min="11587" max="11587" width="8.140625" style="363" bestFit="1" customWidth="1"/>
    <col min="11588" max="11588" width="6.7109375" style="363" bestFit="1" customWidth="1"/>
    <col min="11589" max="11589" width="6" style="363" bestFit="1" customWidth="1"/>
    <col min="11590" max="11602" width="6" style="363" customWidth="1"/>
    <col min="11603" max="11610" width="7.140625" style="363" customWidth="1"/>
    <col min="11611" max="11615" width="7.140625" style="363" bestFit="1" customWidth="1"/>
    <col min="11616" max="11616" width="7.140625" style="363" customWidth="1"/>
    <col min="11617" max="11617" width="7.140625" style="363" bestFit="1" customWidth="1"/>
    <col min="11618" max="11776" width="11.28515625" style="363"/>
    <col min="11777" max="11777" width="2" style="363" customWidth="1"/>
    <col min="11778" max="11778" width="45.85546875" style="363" customWidth="1"/>
    <col min="11779" max="11779" width="8.140625" style="363" bestFit="1" customWidth="1"/>
    <col min="11780" max="11780" width="6.7109375" style="363" bestFit="1" customWidth="1"/>
    <col min="11781" max="11782" width="6" style="363" customWidth="1"/>
    <col min="11783" max="11808" width="7.140625" style="363" customWidth="1"/>
    <col min="11809" max="11809" width="7.140625" style="363" bestFit="1" customWidth="1"/>
    <col min="11810" max="11810" width="0.85546875" style="363" customWidth="1"/>
    <col min="11811" max="11811" width="8.140625" style="363" bestFit="1" customWidth="1"/>
    <col min="11812" max="11812" width="6.7109375" style="363" bestFit="1" customWidth="1"/>
    <col min="11813" max="11826" width="6" style="363" customWidth="1"/>
    <col min="11827" max="11838" width="7.140625" style="363" customWidth="1"/>
    <col min="11839" max="11840" width="7.28515625" style="363" customWidth="1"/>
    <col min="11841" max="11841" width="7.140625" style="363" customWidth="1"/>
    <col min="11842" max="11842" width="1.28515625" style="363" customWidth="1"/>
    <col min="11843" max="11843" width="8.140625" style="363" bestFit="1" customWidth="1"/>
    <col min="11844" max="11844" width="6.7109375" style="363" bestFit="1" customWidth="1"/>
    <col min="11845" max="11845" width="6" style="363" bestFit="1" customWidth="1"/>
    <col min="11846" max="11858" width="6" style="363" customWidth="1"/>
    <col min="11859" max="11866" width="7.140625" style="363" customWidth="1"/>
    <col min="11867" max="11871" width="7.140625" style="363" bestFit="1" customWidth="1"/>
    <col min="11872" max="11872" width="7.140625" style="363" customWidth="1"/>
    <col min="11873" max="11873" width="7.140625" style="363" bestFit="1" customWidth="1"/>
    <col min="11874" max="12032" width="11.28515625" style="363"/>
    <col min="12033" max="12033" width="2" style="363" customWidth="1"/>
    <col min="12034" max="12034" width="45.85546875" style="363" customWidth="1"/>
    <col min="12035" max="12035" width="8.140625" style="363" bestFit="1" customWidth="1"/>
    <col min="12036" max="12036" width="6.7109375" style="363" bestFit="1" customWidth="1"/>
    <col min="12037" max="12038" width="6" style="363" customWidth="1"/>
    <col min="12039" max="12064" width="7.140625" style="363" customWidth="1"/>
    <col min="12065" max="12065" width="7.140625" style="363" bestFit="1" customWidth="1"/>
    <col min="12066" max="12066" width="0.85546875" style="363" customWidth="1"/>
    <col min="12067" max="12067" width="8.140625" style="363" bestFit="1" customWidth="1"/>
    <col min="12068" max="12068" width="6.7109375" style="363" bestFit="1" customWidth="1"/>
    <col min="12069" max="12082" width="6" style="363" customWidth="1"/>
    <col min="12083" max="12094" width="7.140625" style="363" customWidth="1"/>
    <col min="12095" max="12096" width="7.28515625" style="363" customWidth="1"/>
    <col min="12097" max="12097" width="7.140625" style="363" customWidth="1"/>
    <col min="12098" max="12098" width="1.28515625" style="363" customWidth="1"/>
    <col min="12099" max="12099" width="8.140625" style="363" bestFit="1" customWidth="1"/>
    <col min="12100" max="12100" width="6.7109375" style="363" bestFit="1" customWidth="1"/>
    <col min="12101" max="12101" width="6" style="363" bestFit="1" customWidth="1"/>
    <col min="12102" max="12114" width="6" style="363" customWidth="1"/>
    <col min="12115" max="12122" width="7.140625" style="363" customWidth="1"/>
    <col min="12123" max="12127" width="7.140625" style="363" bestFit="1" customWidth="1"/>
    <col min="12128" max="12128" width="7.140625" style="363" customWidth="1"/>
    <col min="12129" max="12129" width="7.140625" style="363" bestFit="1" customWidth="1"/>
    <col min="12130" max="12288" width="11.28515625" style="363"/>
    <col min="12289" max="12289" width="2" style="363" customWidth="1"/>
    <col min="12290" max="12290" width="45.85546875" style="363" customWidth="1"/>
    <col min="12291" max="12291" width="8.140625" style="363" bestFit="1" customWidth="1"/>
    <col min="12292" max="12292" width="6.7109375" style="363" bestFit="1" customWidth="1"/>
    <col min="12293" max="12294" width="6" style="363" customWidth="1"/>
    <col min="12295" max="12320" width="7.140625" style="363" customWidth="1"/>
    <col min="12321" max="12321" width="7.140625" style="363" bestFit="1" customWidth="1"/>
    <col min="12322" max="12322" width="0.85546875" style="363" customWidth="1"/>
    <col min="12323" max="12323" width="8.140625" style="363" bestFit="1" customWidth="1"/>
    <col min="12324" max="12324" width="6.7109375" style="363" bestFit="1" customWidth="1"/>
    <col min="12325" max="12338" width="6" style="363" customWidth="1"/>
    <col min="12339" max="12350" width="7.140625" style="363" customWidth="1"/>
    <col min="12351" max="12352" width="7.28515625" style="363" customWidth="1"/>
    <col min="12353" max="12353" width="7.140625" style="363" customWidth="1"/>
    <col min="12354" max="12354" width="1.28515625" style="363" customWidth="1"/>
    <col min="12355" max="12355" width="8.140625" style="363" bestFit="1" customWidth="1"/>
    <col min="12356" max="12356" width="6.7109375" style="363" bestFit="1" customWidth="1"/>
    <col min="12357" max="12357" width="6" style="363" bestFit="1" customWidth="1"/>
    <col min="12358" max="12370" width="6" style="363" customWidth="1"/>
    <col min="12371" max="12378" width="7.140625" style="363" customWidth="1"/>
    <col min="12379" max="12383" width="7.140625" style="363" bestFit="1" customWidth="1"/>
    <col min="12384" max="12384" width="7.140625" style="363" customWidth="1"/>
    <col min="12385" max="12385" width="7.140625" style="363" bestFit="1" customWidth="1"/>
    <col min="12386" max="12544" width="11.28515625" style="363"/>
    <col min="12545" max="12545" width="2" style="363" customWidth="1"/>
    <col min="12546" max="12546" width="45.85546875" style="363" customWidth="1"/>
    <col min="12547" max="12547" width="8.140625" style="363" bestFit="1" customWidth="1"/>
    <col min="12548" max="12548" width="6.7109375" style="363" bestFit="1" customWidth="1"/>
    <col min="12549" max="12550" width="6" style="363" customWidth="1"/>
    <col min="12551" max="12576" width="7.140625" style="363" customWidth="1"/>
    <col min="12577" max="12577" width="7.140625" style="363" bestFit="1" customWidth="1"/>
    <col min="12578" max="12578" width="0.85546875" style="363" customWidth="1"/>
    <col min="12579" max="12579" width="8.140625" style="363" bestFit="1" customWidth="1"/>
    <col min="12580" max="12580" width="6.7109375" style="363" bestFit="1" customWidth="1"/>
    <col min="12581" max="12594" width="6" style="363" customWidth="1"/>
    <col min="12595" max="12606" width="7.140625" style="363" customWidth="1"/>
    <col min="12607" max="12608" width="7.28515625" style="363" customWidth="1"/>
    <col min="12609" max="12609" width="7.140625" style="363" customWidth="1"/>
    <col min="12610" max="12610" width="1.28515625" style="363" customWidth="1"/>
    <col min="12611" max="12611" width="8.140625" style="363" bestFit="1" customWidth="1"/>
    <col min="12612" max="12612" width="6.7109375" style="363" bestFit="1" customWidth="1"/>
    <col min="12613" max="12613" width="6" style="363" bestFit="1" customWidth="1"/>
    <col min="12614" max="12626" width="6" style="363" customWidth="1"/>
    <col min="12627" max="12634" width="7.140625" style="363" customWidth="1"/>
    <col min="12635" max="12639" width="7.140625" style="363" bestFit="1" customWidth="1"/>
    <col min="12640" max="12640" width="7.140625" style="363" customWidth="1"/>
    <col min="12641" max="12641" width="7.140625" style="363" bestFit="1" customWidth="1"/>
    <col min="12642" max="12800" width="11.28515625" style="363"/>
    <col min="12801" max="12801" width="2" style="363" customWidth="1"/>
    <col min="12802" max="12802" width="45.85546875" style="363" customWidth="1"/>
    <col min="12803" max="12803" width="8.140625" style="363" bestFit="1" customWidth="1"/>
    <col min="12804" max="12804" width="6.7109375" style="363" bestFit="1" customWidth="1"/>
    <col min="12805" max="12806" width="6" style="363" customWidth="1"/>
    <col min="12807" max="12832" width="7.140625" style="363" customWidth="1"/>
    <col min="12833" max="12833" width="7.140625" style="363" bestFit="1" customWidth="1"/>
    <col min="12834" max="12834" width="0.85546875" style="363" customWidth="1"/>
    <col min="12835" max="12835" width="8.140625" style="363" bestFit="1" customWidth="1"/>
    <col min="12836" max="12836" width="6.7109375" style="363" bestFit="1" customWidth="1"/>
    <col min="12837" max="12850" width="6" style="363" customWidth="1"/>
    <col min="12851" max="12862" width="7.140625" style="363" customWidth="1"/>
    <col min="12863" max="12864" width="7.28515625" style="363" customWidth="1"/>
    <col min="12865" max="12865" width="7.140625" style="363" customWidth="1"/>
    <col min="12866" max="12866" width="1.28515625" style="363" customWidth="1"/>
    <col min="12867" max="12867" width="8.140625" style="363" bestFit="1" customWidth="1"/>
    <col min="12868" max="12868" width="6.7109375" style="363" bestFit="1" customWidth="1"/>
    <col min="12869" max="12869" width="6" style="363" bestFit="1" customWidth="1"/>
    <col min="12870" max="12882" width="6" style="363" customWidth="1"/>
    <col min="12883" max="12890" width="7.140625" style="363" customWidth="1"/>
    <col min="12891" max="12895" width="7.140625" style="363" bestFit="1" customWidth="1"/>
    <col min="12896" max="12896" width="7.140625" style="363" customWidth="1"/>
    <col min="12897" max="12897" width="7.140625" style="363" bestFit="1" customWidth="1"/>
    <col min="12898" max="13056" width="11.28515625" style="363"/>
    <col min="13057" max="13057" width="2" style="363" customWidth="1"/>
    <col min="13058" max="13058" width="45.85546875" style="363" customWidth="1"/>
    <col min="13059" max="13059" width="8.140625" style="363" bestFit="1" customWidth="1"/>
    <col min="13060" max="13060" width="6.7109375" style="363" bestFit="1" customWidth="1"/>
    <col min="13061" max="13062" width="6" style="363" customWidth="1"/>
    <col min="13063" max="13088" width="7.140625" style="363" customWidth="1"/>
    <col min="13089" max="13089" width="7.140625" style="363" bestFit="1" customWidth="1"/>
    <col min="13090" max="13090" width="0.85546875" style="363" customWidth="1"/>
    <col min="13091" max="13091" width="8.140625" style="363" bestFit="1" customWidth="1"/>
    <col min="13092" max="13092" width="6.7109375" style="363" bestFit="1" customWidth="1"/>
    <col min="13093" max="13106" width="6" style="363" customWidth="1"/>
    <col min="13107" max="13118" width="7.140625" style="363" customWidth="1"/>
    <col min="13119" max="13120" width="7.28515625" style="363" customWidth="1"/>
    <col min="13121" max="13121" width="7.140625" style="363" customWidth="1"/>
    <col min="13122" max="13122" width="1.28515625" style="363" customWidth="1"/>
    <col min="13123" max="13123" width="8.140625" style="363" bestFit="1" customWidth="1"/>
    <col min="13124" max="13124" width="6.7109375" style="363" bestFit="1" customWidth="1"/>
    <col min="13125" max="13125" width="6" style="363" bestFit="1" customWidth="1"/>
    <col min="13126" max="13138" width="6" style="363" customWidth="1"/>
    <col min="13139" max="13146" width="7.140625" style="363" customWidth="1"/>
    <col min="13147" max="13151" width="7.140625" style="363" bestFit="1" customWidth="1"/>
    <col min="13152" max="13152" width="7.140625" style="363" customWidth="1"/>
    <col min="13153" max="13153" width="7.140625" style="363" bestFit="1" customWidth="1"/>
    <col min="13154" max="13312" width="11.28515625" style="363"/>
    <col min="13313" max="13313" width="2" style="363" customWidth="1"/>
    <col min="13314" max="13314" width="45.85546875" style="363" customWidth="1"/>
    <col min="13315" max="13315" width="8.140625" style="363" bestFit="1" customWidth="1"/>
    <col min="13316" max="13316" width="6.7109375" style="363" bestFit="1" customWidth="1"/>
    <col min="13317" max="13318" width="6" style="363" customWidth="1"/>
    <col min="13319" max="13344" width="7.140625" style="363" customWidth="1"/>
    <col min="13345" max="13345" width="7.140625" style="363" bestFit="1" customWidth="1"/>
    <col min="13346" max="13346" width="0.85546875" style="363" customWidth="1"/>
    <col min="13347" max="13347" width="8.140625" style="363" bestFit="1" customWidth="1"/>
    <col min="13348" max="13348" width="6.7109375" style="363" bestFit="1" customWidth="1"/>
    <col min="13349" max="13362" width="6" style="363" customWidth="1"/>
    <col min="13363" max="13374" width="7.140625" style="363" customWidth="1"/>
    <col min="13375" max="13376" width="7.28515625" style="363" customWidth="1"/>
    <col min="13377" max="13377" width="7.140625" style="363" customWidth="1"/>
    <col min="13378" max="13378" width="1.28515625" style="363" customWidth="1"/>
    <col min="13379" max="13379" width="8.140625" style="363" bestFit="1" customWidth="1"/>
    <col min="13380" max="13380" width="6.7109375" style="363" bestFit="1" customWidth="1"/>
    <col min="13381" max="13381" width="6" style="363" bestFit="1" customWidth="1"/>
    <col min="13382" max="13394" width="6" style="363" customWidth="1"/>
    <col min="13395" max="13402" width="7.140625" style="363" customWidth="1"/>
    <col min="13403" max="13407" width="7.140625" style="363" bestFit="1" customWidth="1"/>
    <col min="13408" max="13408" width="7.140625" style="363" customWidth="1"/>
    <col min="13409" max="13409" width="7.140625" style="363" bestFit="1" customWidth="1"/>
    <col min="13410" max="13568" width="11.28515625" style="363"/>
    <col min="13569" max="13569" width="2" style="363" customWidth="1"/>
    <col min="13570" max="13570" width="45.85546875" style="363" customWidth="1"/>
    <col min="13571" max="13571" width="8.140625" style="363" bestFit="1" customWidth="1"/>
    <col min="13572" max="13572" width="6.7109375" style="363" bestFit="1" customWidth="1"/>
    <col min="13573" max="13574" width="6" style="363" customWidth="1"/>
    <col min="13575" max="13600" width="7.140625" style="363" customWidth="1"/>
    <col min="13601" max="13601" width="7.140625" style="363" bestFit="1" customWidth="1"/>
    <col min="13602" max="13602" width="0.85546875" style="363" customWidth="1"/>
    <col min="13603" max="13603" width="8.140625" style="363" bestFit="1" customWidth="1"/>
    <col min="13604" max="13604" width="6.7109375" style="363" bestFit="1" customWidth="1"/>
    <col min="13605" max="13618" width="6" style="363" customWidth="1"/>
    <col min="13619" max="13630" width="7.140625" style="363" customWidth="1"/>
    <col min="13631" max="13632" width="7.28515625" style="363" customWidth="1"/>
    <col min="13633" max="13633" width="7.140625" style="363" customWidth="1"/>
    <col min="13634" max="13634" width="1.28515625" style="363" customWidth="1"/>
    <col min="13635" max="13635" width="8.140625" style="363" bestFit="1" customWidth="1"/>
    <col min="13636" max="13636" width="6.7109375" style="363" bestFit="1" customWidth="1"/>
    <col min="13637" max="13637" width="6" style="363" bestFit="1" customWidth="1"/>
    <col min="13638" max="13650" width="6" style="363" customWidth="1"/>
    <col min="13651" max="13658" width="7.140625" style="363" customWidth="1"/>
    <col min="13659" max="13663" width="7.140625" style="363" bestFit="1" customWidth="1"/>
    <col min="13664" max="13664" width="7.140625" style="363" customWidth="1"/>
    <col min="13665" max="13665" width="7.140625" style="363" bestFit="1" customWidth="1"/>
    <col min="13666" max="13824" width="11.28515625" style="363"/>
    <col min="13825" max="13825" width="2" style="363" customWidth="1"/>
    <col min="13826" max="13826" width="45.85546875" style="363" customWidth="1"/>
    <col min="13827" max="13827" width="8.140625" style="363" bestFit="1" customWidth="1"/>
    <col min="13828" max="13828" width="6.7109375" style="363" bestFit="1" customWidth="1"/>
    <col min="13829" max="13830" width="6" style="363" customWidth="1"/>
    <col min="13831" max="13856" width="7.140625" style="363" customWidth="1"/>
    <col min="13857" max="13857" width="7.140625" style="363" bestFit="1" customWidth="1"/>
    <col min="13858" max="13858" width="0.85546875" style="363" customWidth="1"/>
    <col min="13859" max="13859" width="8.140625" style="363" bestFit="1" customWidth="1"/>
    <col min="13860" max="13860" width="6.7109375" style="363" bestFit="1" customWidth="1"/>
    <col min="13861" max="13874" width="6" style="363" customWidth="1"/>
    <col min="13875" max="13886" width="7.140625" style="363" customWidth="1"/>
    <col min="13887" max="13888" width="7.28515625" style="363" customWidth="1"/>
    <col min="13889" max="13889" width="7.140625" style="363" customWidth="1"/>
    <col min="13890" max="13890" width="1.28515625" style="363" customWidth="1"/>
    <col min="13891" max="13891" width="8.140625" style="363" bestFit="1" customWidth="1"/>
    <col min="13892" max="13892" width="6.7109375" style="363" bestFit="1" customWidth="1"/>
    <col min="13893" max="13893" width="6" style="363" bestFit="1" customWidth="1"/>
    <col min="13894" max="13906" width="6" style="363" customWidth="1"/>
    <col min="13907" max="13914" width="7.140625" style="363" customWidth="1"/>
    <col min="13915" max="13919" width="7.140625" style="363" bestFit="1" customWidth="1"/>
    <col min="13920" max="13920" width="7.140625" style="363" customWidth="1"/>
    <col min="13921" max="13921" width="7.140625" style="363" bestFit="1" customWidth="1"/>
    <col min="13922" max="14080" width="11.28515625" style="363"/>
    <col min="14081" max="14081" width="2" style="363" customWidth="1"/>
    <col min="14082" max="14082" width="45.85546875" style="363" customWidth="1"/>
    <col min="14083" max="14083" width="8.140625" style="363" bestFit="1" customWidth="1"/>
    <col min="14084" max="14084" width="6.7109375" style="363" bestFit="1" customWidth="1"/>
    <col min="14085" max="14086" width="6" style="363" customWidth="1"/>
    <col min="14087" max="14112" width="7.140625" style="363" customWidth="1"/>
    <col min="14113" max="14113" width="7.140625" style="363" bestFit="1" customWidth="1"/>
    <col min="14114" max="14114" width="0.85546875" style="363" customWidth="1"/>
    <col min="14115" max="14115" width="8.140625" style="363" bestFit="1" customWidth="1"/>
    <col min="14116" max="14116" width="6.7109375" style="363" bestFit="1" customWidth="1"/>
    <col min="14117" max="14130" width="6" style="363" customWidth="1"/>
    <col min="14131" max="14142" width="7.140625" style="363" customWidth="1"/>
    <col min="14143" max="14144" width="7.28515625" style="363" customWidth="1"/>
    <col min="14145" max="14145" width="7.140625" style="363" customWidth="1"/>
    <col min="14146" max="14146" width="1.28515625" style="363" customWidth="1"/>
    <col min="14147" max="14147" width="8.140625" style="363" bestFit="1" customWidth="1"/>
    <col min="14148" max="14148" width="6.7109375" style="363" bestFit="1" customWidth="1"/>
    <col min="14149" max="14149" width="6" style="363" bestFit="1" customWidth="1"/>
    <col min="14150" max="14162" width="6" style="363" customWidth="1"/>
    <col min="14163" max="14170" width="7.140625" style="363" customWidth="1"/>
    <col min="14171" max="14175" width="7.140625" style="363" bestFit="1" customWidth="1"/>
    <col min="14176" max="14176" width="7.140625" style="363" customWidth="1"/>
    <col min="14177" max="14177" width="7.140625" style="363" bestFit="1" customWidth="1"/>
    <col min="14178" max="14336" width="11.28515625" style="363"/>
    <col min="14337" max="14337" width="2" style="363" customWidth="1"/>
    <col min="14338" max="14338" width="45.85546875" style="363" customWidth="1"/>
    <col min="14339" max="14339" width="8.140625" style="363" bestFit="1" customWidth="1"/>
    <col min="14340" max="14340" width="6.7109375" style="363" bestFit="1" customWidth="1"/>
    <col min="14341" max="14342" width="6" style="363" customWidth="1"/>
    <col min="14343" max="14368" width="7.140625" style="363" customWidth="1"/>
    <col min="14369" max="14369" width="7.140625" style="363" bestFit="1" customWidth="1"/>
    <col min="14370" max="14370" width="0.85546875" style="363" customWidth="1"/>
    <col min="14371" max="14371" width="8.140625" style="363" bestFit="1" customWidth="1"/>
    <col min="14372" max="14372" width="6.7109375" style="363" bestFit="1" customWidth="1"/>
    <col min="14373" max="14386" width="6" style="363" customWidth="1"/>
    <col min="14387" max="14398" width="7.140625" style="363" customWidth="1"/>
    <col min="14399" max="14400" width="7.28515625" style="363" customWidth="1"/>
    <col min="14401" max="14401" width="7.140625" style="363" customWidth="1"/>
    <col min="14402" max="14402" width="1.28515625" style="363" customWidth="1"/>
    <col min="14403" max="14403" width="8.140625" style="363" bestFit="1" customWidth="1"/>
    <col min="14404" max="14404" width="6.7109375" style="363" bestFit="1" customWidth="1"/>
    <col min="14405" max="14405" width="6" style="363" bestFit="1" customWidth="1"/>
    <col min="14406" max="14418" width="6" style="363" customWidth="1"/>
    <col min="14419" max="14426" width="7.140625" style="363" customWidth="1"/>
    <col min="14427" max="14431" width="7.140625" style="363" bestFit="1" customWidth="1"/>
    <col min="14432" max="14432" width="7.140625" style="363" customWidth="1"/>
    <col min="14433" max="14433" width="7.140625" style="363" bestFit="1" customWidth="1"/>
    <col min="14434" max="14592" width="11.28515625" style="363"/>
    <col min="14593" max="14593" width="2" style="363" customWidth="1"/>
    <col min="14594" max="14594" width="45.85546875" style="363" customWidth="1"/>
    <col min="14595" max="14595" width="8.140625" style="363" bestFit="1" customWidth="1"/>
    <col min="14596" max="14596" width="6.7109375" style="363" bestFit="1" customWidth="1"/>
    <col min="14597" max="14598" width="6" style="363" customWidth="1"/>
    <col min="14599" max="14624" width="7.140625" style="363" customWidth="1"/>
    <col min="14625" max="14625" width="7.140625" style="363" bestFit="1" customWidth="1"/>
    <col min="14626" max="14626" width="0.85546875" style="363" customWidth="1"/>
    <col min="14627" max="14627" width="8.140625" style="363" bestFit="1" customWidth="1"/>
    <col min="14628" max="14628" width="6.7109375" style="363" bestFit="1" customWidth="1"/>
    <col min="14629" max="14642" width="6" style="363" customWidth="1"/>
    <col min="14643" max="14654" width="7.140625" style="363" customWidth="1"/>
    <col min="14655" max="14656" width="7.28515625" style="363" customWidth="1"/>
    <col min="14657" max="14657" width="7.140625" style="363" customWidth="1"/>
    <col min="14658" max="14658" width="1.28515625" style="363" customWidth="1"/>
    <col min="14659" max="14659" width="8.140625" style="363" bestFit="1" customWidth="1"/>
    <col min="14660" max="14660" width="6.7109375" style="363" bestFit="1" customWidth="1"/>
    <col min="14661" max="14661" width="6" style="363" bestFit="1" customWidth="1"/>
    <col min="14662" max="14674" width="6" style="363" customWidth="1"/>
    <col min="14675" max="14682" width="7.140625" style="363" customWidth="1"/>
    <col min="14683" max="14687" width="7.140625" style="363" bestFit="1" customWidth="1"/>
    <col min="14688" max="14688" width="7.140625" style="363" customWidth="1"/>
    <col min="14689" max="14689" width="7.140625" style="363" bestFit="1" customWidth="1"/>
    <col min="14690" max="14848" width="11.28515625" style="363"/>
    <col min="14849" max="14849" width="2" style="363" customWidth="1"/>
    <col min="14850" max="14850" width="45.85546875" style="363" customWidth="1"/>
    <col min="14851" max="14851" width="8.140625" style="363" bestFit="1" customWidth="1"/>
    <col min="14852" max="14852" width="6.7109375" style="363" bestFit="1" customWidth="1"/>
    <col min="14853" max="14854" width="6" style="363" customWidth="1"/>
    <col min="14855" max="14880" width="7.140625" style="363" customWidth="1"/>
    <col min="14881" max="14881" width="7.140625" style="363" bestFit="1" customWidth="1"/>
    <col min="14882" max="14882" width="0.85546875" style="363" customWidth="1"/>
    <col min="14883" max="14883" width="8.140625" style="363" bestFit="1" customWidth="1"/>
    <col min="14884" max="14884" width="6.7109375" style="363" bestFit="1" customWidth="1"/>
    <col min="14885" max="14898" width="6" style="363" customWidth="1"/>
    <col min="14899" max="14910" width="7.140625" style="363" customWidth="1"/>
    <col min="14911" max="14912" width="7.28515625" style="363" customWidth="1"/>
    <col min="14913" max="14913" width="7.140625" style="363" customWidth="1"/>
    <col min="14914" max="14914" width="1.28515625" style="363" customWidth="1"/>
    <col min="14915" max="14915" width="8.140625" style="363" bestFit="1" customWidth="1"/>
    <col min="14916" max="14916" width="6.7109375" style="363" bestFit="1" customWidth="1"/>
    <col min="14917" max="14917" width="6" style="363" bestFit="1" customWidth="1"/>
    <col min="14918" max="14930" width="6" style="363" customWidth="1"/>
    <col min="14931" max="14938" width="7.140625" style="363" customWidth="1"/>
    <col min="14939" max="14943" width="7.140625" style="363" bestFit="1" customWidth="1"/>
    <col min="14944" max="14944" width="7.140625" style="363" customWidth="1"/>
    <col min="14945" max="14945" width="7.140625" style="363" bestFit="1" customWidth="1"/>
    <col min="14946" max="15104" width="11.28515625" style="363"/>
    <col min="15105" max="15105" width="2" style="363" customWidth="1"/>
    <col min="15106" max="15106" width="45.85546875" style="363" customWidth="1"/>
    <col min="15107" max="15107" width="8.140625" style="363" bestFit="1" customWidth="1"/>
    <col min="15108" max="15108" width="6.7109375" style="363" bestFit="1" customWidth="1"/>
    <col min="15109" max="15110" width="6" style="363" customWidth="1"/>
    <col min="15111" max="15136" width="7.140625" style="363" customWidth="1"/>
    <col min="15137" max="15137" width="7.140625" style="363" bestFit="1" customWidth="1"/>
    <col min="15138" max="15138" width="0.85546875" style="363" customWidth="1"/>
    <col min="15139" max="15139" width="8.140625" style="363" bestFit="1" customWidth="1"/>
    <col min="15140" max="15140" width="6.7109375" style="363" bestFit="1" customWidth="1"/>
    <col min="15141" max="15154" width="6" style="363" customWidth="1"/>
    <col min="15155" max="15166" width="7.140625" style="363" customWidth="1"/>
    <col min="15167" max="15168" width="7.28515625" style="363" customWidth="1"/>
    <col min="15169" max="15169" width="7.140625" style="363" customWidth="1"/>
    <col min="15170" max="15170" width="1.28515625" style="363" customWidth="1"/>
    <col min="15171" max="15171" width="8.140625" style="363" bestFit="1" customWidth="1"/>
    <col min="15172" max="15172" width="6.7109375" style="363" bestFit="1" customWidth="1"/>
    <col min="15173" max="15173" width="6" style="363" bestFit="1" customWidth="1"/>
    <col min="15174" max="15186" width="6" style="363" customWidth="1"/>
    <col min="15187" max="15194" width="7.140625" style="363" customWidth="1"/>
    <col min="15195" max="15199" width="7.140625" style="363" bestFit="1" customWidth="1"/>
    <col min="15200" max="15200" width="7.140625" style="363" customWidth="1"/>
    <col min="15201" max="15201" width="7.140625" style="363" bestFit="1" customWidth="1"/>
    <col min="15202" max="15360" width="11.28515625" style="363"/>
    <col min="15361" max="15361" width="2" style="363" customWidth="1"/>
    <col min="15362" max="15362" width="45.85546875" style="363" customWidth="1"/>
    <col min="15363" max="15363" width="8.140625" style="363" bestFit="1" customWidth="1"/>
    <col min="15364" max="15364" width="6.7109375" style="363" bestFit="1" customWidth="1"/>
    <col min="15365" max="15366" width="6" style="363" customWidth="1"/>
    <col min="15367" max="15392" width="7.140625" style="363" customWidth="1"/>
    <col min="15393" max="15393" width="7.140625" style="363" bestFit="1" customWidth="1"/>
    <col min="15394" max="15394" width="0.85546875" style="363" customWidth="1"/>
    <col min="15395" max="15395" width="8.140625" style="363" bestFit="1" customWidth="1"/>
    <col min="15396" max="15396" width="6.7109375" style="363" bestFit="1" customWidth="1"/>
    <col min="15397" max="15410" width="6" style="363" customWidth="1"/>
    <col min="15411" max="15422" width="7.140625" style="363" customWidth="1"/>
    <col min="15423" max="15424" width="7.28515625" style="363" customWidth="1"/>
    <col min="15425" max="15425" width="7.140625" style="363" customWidth="1"/>
    <col min="15426" max="15426" width="1.28515625" style="363" customWidth="1"/>
    <col min="15427" max="15427" width="8.140625" style="363" bestFit="1" customWidth="1"/>
    <col min="15428" max="15428" width="6.7109375" style="363" bestFit="1" customWidth="1"/>
    <col min="15429" max="15429" width="6" style="363" bestFit="1" customWidth="1"/>
    <col min="15430" max="15442" width="6" style="363" customWidth="1"/>
    <col min="15443" max="15450" width="7.140625" style="363" customWidth="1"/>
    <col min="15451" max="15455" width="7.140625" style="363" bestFit="1" customWidth="1"/>
    <col min="15456" max="15456" width="7.140625" style="363" customWidth="1"/>
    <col min="15457" max="15457" width="7.140625" style="363" bestFit="1" customWidth="1"/>
    <col min="15458" max="15616" width="11.28515625" style="363"/>
    <col min="15617" max="15617" width="2" style="363" customWidth="1"/>
    <col min="15618" max="15618" width="45.85546875" style="363" customWidth="1"/>
    <col min="15619" max="15619" width="8.140625" style="363" bestFit="1" customWidth="1"/>
    <col min="15620" max="15620" width="6.7109375" style="363" bestFit="1" customWidth="1"/>
    <col min="15621" max="15622" width="6" style="363" customWidth="1"/>
    <col min="15623" max="15648" width="7.140625" style="363" customWidth="1"/>
    <col min="15649" max="15649" width="7.140625" style="363" bestFit="1" customWidth="1"/>
    <col min="15650" max="15650" width="0.85546875" style="363" customWidth="1"/>
    <col min="15651" max="15651" width="8.140625" style="363" bestFit="1" customWidth="1"/>
    <col min="15652" max="15652" width="6.7109375" style="363" bestFit="1" customWidth="1"/>
    <col min="15653" max="15666" width="6" style="363" customWidth="1"/>
    <col min="15667" max="15678" width="7.140625" style="363" customWidth="1"/>
    <col min="15679" max="15680" width="7.28515625" style="363" customWidth="1"/>
    <col min="15681" max="15681" width="7.140625" style="363" customWidth="1"/>
    <col min="15682" max="15682" width="1.28515625" style="363" customWidth="1"/>
    <col min="15683" max="15683" width="8.140625" style="363" bestFit="1" customWidth="1"/>
    <col min="15684" max="15684" width="6.7109375" style="363" bestFit="1" customWidth="1"/>
    <col min="15685" max="15685" width="6" style="363" bestFit="1" customWidth="1"/>
    <col min="15686" max="15698" width="6" style="363" customWidth="1"/>
    <col min="15699" max="15706" width="7.140625" style="363" customWidth="1"/>
    <col min="15707" max="15711" width="7.140625" style="363" bestFit="1" customWidth="1"/>
    <col min="15712" max="15712" width="7.140625" style="363" customWidth="1"/>
    <col min="15713" max="15713" width="7.140625" style="363" bestFit="1" customWidth="1"/>
    <col min="15714" max="15872" width="11.28515625" style="363"/>
    <col min="15873" max="15873" width="2" style="363" customWidth="1"/>
    <col min="15874" max="15874" width="45.85546875" style="363" customWidth="1"/>
    <col min="15875" max="15875" width="8.140625" style="363" bestFit="1" customWidth="1"/>
    <col min="15876" max="15876" width="6.7109375" style="363" bestFit="1" customWidth="1"/>
    <col min="15877" max="15878" width="6" style="363" customWidth="1"/>
    <col min="15879" max="15904" width="7.140625" style="363" customWidth="1"/>
    <col min="15905" max="15905" width="7.140625" style="363" bestFit="1" customWidth="1"/>
    <col min="15906" max="15906" width="0.85546875" style="363" customWidth="1"/>
    <col min="15907" max="15907" width="8.140625" style="363" bestFit="1" customWidth="1"/>
    <col min="15908" max="15908" width="6.7109375" style="363" bestFit="1" customWidth="1"/>
    <col min="15909" max="15922" width="6" style="363" customWidth="1"/>
    <col min="15923" max="15934" width="7.140625" style="363" customWidth="1"/>
    <col min="15935" max="15936" width="7.28515625" style="363" customWidth="1"/>
    <col min="15937" max="15937" width="7.140625" style="363" customWidth="1"/>
    <col min="15938" max="15938" width="1.28515625" style="363" customWidth="1"/>
    <col min="15939" max="15939" width="8.140625" style="363" bestFit="1" customWidth="1"/>
    <col min="15940" max="15940" width="6.7109375" style="363" bestFit="1" customWidth="1"/>
    <col min="15941" max="15941" width="6" style="363" bestFit="1" customWidth="1"/>
    <col min="15942" max="15954" width="6" style="363" customWidth="1"/>
    <col min="15955" max="15962" width="7.140625" style="363" customWidth="1"/>
    <col min="15963" max="15967" width="7.140625" style="363" bestFit="1" customWidth="1"/>
    <col min="15968" max="15968" width="7.140625" style="363" customWidth="1"/>
    <col min="15969" max="15969" width="7.140625" style="363" bestFit="1" customWidth="1"/>
    <col min="15970" max="16128" width="11.28515625" style="363"/>
    <col min="16129" max="16129" width="2" style="363" customWidth="1"/>
    <col min="16130" max="16130" width="45.85546875" style="363" customWidth="1"/>
    <col min="16131" max="16131" width="8.140625" style="363" bestFit="1" customWidth="1"/>
    <col min="16132" max="16132" width="6.7109375" style="363" bestFit="1" customWidth="1"/>
    <col min="16133" max="16134" width="6" style="363" customWidth="1"/>
    <col min="16135" max="16160" width="7.140625" style="363" customWidth="1"/>
    <col min="16161" max="16161" width="7.140625" style="363" bestFit="1" customWidth="1"/>
    <col min="16162" max="16162" width="0.85546875" style="363" customWidth="1"/>
    <col min="16163" max="16163" width="8.140625" style="363" bestFit="1" customWidth="1"/>
    <col min="16164" max="16164" width="6.7109375" style="363" bestFit="1" customWidth="1"/>
    <col min="16165" max="16178" width="6" style="363" customWidth="1"/>
    <col min="16179" max="16190" width="7.140625" style="363" customWidth="1"/>
    <col min="16191" max="16192" width="7.28515625" style="363" customWidth="1"/>
    <col min="16193" max="16193" width="7.140625" style="363" customWidth="1"/>
    <col min="16194" max="16194" width="1.28515625" style="363" customWidth="1"/>
    <col min="16195" max="16195" width="8.140625" style="363" bestFit="1" customWidth="1"/>
    <col min="16196" max="16196" width="6.7109375" style="363" bestFit="1" customWidth="1"/>
    <col min="16197" max="16197" width="6" style="363" bestFit="1" customWidth="1"/>
    <col min="16198" max="16210" width="6" style="363" customWidth="1"/>
    <col min="16211" max="16218" width="7.140625" style="363" customWidth="1"/>
    <col min="16219" max="16223" width="7.140625" style="363" bestFit="1" customWidth="1"/>
    <col min="16224" max="16224" width="7.140625" style="363" customWidth="1"/>
    <col min="16225" max="16225" width="7.140625" style="363" bestFit="1" customWidth="1"/>
    <col min="16226" max="16384" width="11.28515625" style="363"/>
  </cols>
  <sheetData>
    <row r="1" spans="2:97" s="357" customFormat="1" ht="27.75" customHeight="1" x14ac:dyDescent="0.35">
      <c r="C1" s="358"/>
      <c r="D1" s="594" t="s">
        <v>208</v>
      </c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BO1" s="358"/>
    </row>
    <row r="2" spans="2:97" s="357" customFormat="1" ht="22.5" customHeight="1" x14ac:dyDescent="0.35">
      <c r="B2" s="359"/>
      <c r="C2" s="594" t="s">
        <v>130</v>
      </c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BO2" s="358"/>
    </row>
    <row r="3" spans="2:97" s="360" customFormat="1" ht="23.25" customHeight="1" x14ac:dyDescent="0.35">
      <c r="C3" s="595" t="s">
        <v>131</v>
      </c>
      <c r="D3" s="598" t="s">
        <v>33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600"/>
      <c r="AI3" s="595" t="s">
        <v>131</v>
      </c>
      <c r="AJ3" s="598" t="s">
        <v>132</v>
      </c>
      <c r="AK3" s="599"/>
      <c r="AL3" s="599"/>
      <c r="AM3" s="599"/>
      <c r="AN3" s="599"/>
      <c r="AO3" s="599"/>
      <c r="AP3" s="599"/>
      <c r="AQ3" s="599"/>
      <c r="AR3" s="599"/>
      <c r="AS3" s="599"/>
      <c r="AT3" s="599"/>
      <c r="AU3" s="599"/>
      <c r="AV3" s="599"/>
      <c r="AW3" s="599"/>
      <c r="AX3" s="599"/>
      <c r="AY3" s="599"/>
      <c r="AZ3" s="599"/>
      <c r="BA3" s="599"/>
      <c r="BB3" s="599"/>
      <c r="BC3" s="599"/>
      <c r="BD3" s="599"/>
      <c r="BE3" s="599"/>
      <c r="BF3" s="599"/>
      <c r="BG3" s="599"/>
      <c r="BH3" s="599"/>
      <c r="BI3" s="599"/>
      <c r="BJ3" s="599"/>
      <c r="BK3" s="599"/>
      <c r="BL3" s="599"/>
      <c r="BM3" s="600"/>
      <c r="BO3" s="595" t="s">
        <v>131</v>
      </c>
      <c r="BP3" s="598" t="s">
        <v>133</v>
      </c>
      <c r="BQ3" s="599"/>
      <c r="BR3" s="599"/>
      <c r="BS3" s="599"/>
      <c r="BT3" s="599"/>
      <c r="BU3" s="599"/>
      <c r="BV3" s="599"/>
      <c r="BW3" s="599"/>
      <c r="BX3" s="599"/>
      <c r="BY3" s="599"/>
      <c r="BZ3" s="599"/>
      <c r="CA3" s="599"/>
      <c r="CB3" s="599"/>
      <c r="CC3" s="599"/>
      <c r="CD3" s="599"/>
      <c r="CE3" s="599"/>
      <c r="CF3" s="599"/>
      <c r="CG3" s="599"/>
      <c r="CH3" s="599"/>
      <c r="CI3" s="599"/>
      <c r="CJ3" s="599"/>
      <c r="CK3" s="599"/>
      <c r="CL3" s="599"/>
      <c r="CM3" s="599"/>
      <c r="CN3" s="599"/>
      <c r="CO3" s="599"/>
      <c r="CP3" s="599"/>
      <c r="CQ3" s="599"/>
      <c r="CR3" s="599"/>
      <c r="CS3" s="600"/>
    </row>
    <row r="4" spans="2:97" ht="12.75" customHeight="1" x14ac:dyDescent="0.2">
      <c r="B4" s="361" t="s">
        <v>134</v>
      </c>
      <c r="C4" s="596"/>
      <c r="D4" s="592" t="s">
        <v>135</v>
      </c>
      <c r="E4" s="592" t="s">
        <v>136</v>
      </c>
      <c r="F4" s="592" t="s">
        <v>137</v>
      </c>
      <c r="G4" s="592" t="s">
        <v>138</v>
      </c>
      <c r="H4" s="592" t="s">
        <v>139</v>
      </c>
      <c r="I4" s="592" t="s">
        <v>140</v>
      </c>
      <c r="J4" s="592" t="s">
        <v>141</v>
      </c>
      <c r="K4" s="592" t="s">
        <v>142</v>
      </c>
      <c r="L4" s="592" t="s">
        <v>143</v>
      </c>
      <c r="M4" s="592" t="s">
        <v>144</v>
      </c>
      <c r="N4" s="592" t="s">
        <v>145</v>
      </c>
      <c r="O4" s="592" t="s">
        <v>146</v>
      </c>
      <c r="P4" s="592" t="s">
        <v>147</v>
      </c>
      <c r="Q4" s="592" t="s">
        <v>148</v>
      </c>
      <c r="R4" s="592" t="s">
        <v>149</v>
      </c>
      <c r="S4" s="592" t="s">
        <v>150</v>
      </c>
      <c r="T4" s="592" t="s">
        <v>151</v>
      </c>
      <c r="U4" s="592" t="s">
        <v>152</v>
      </c>
      <c r="V4" s="592" t="s">
        <v>153</v>
      </c>
      <c r="W4" s="592" t="s">
        <v>154</v>
      </c>
      <c r="X4" s="592" t="s">
        <v>155</v>
      </c>
      <c r="Y4" s="592" t="s">
        <v>156</v>
      </c>
      <c r="Z4" s="592" t="s">
        <v>157</v>
      </c>
      <c r="AA4" s="592" t="s">
        <v>158</v>
      </c>
      <c r="AB4" s="592" t="s">
        <v>159</v>
      </c>
      <c r="AC4" s="592" t="s">
        <v>160</v>
      </c>
      <c r="AD4" s="592" t="s">
        <v>161</v>
      </c>
      <c r="AE4" s="592" t="s">
        <v>162</v>
      </c>
      <c r="AF4" s="362" t="s">
        <v>163</v>
      </c>
      <c r="AG4" s="362" t="s">
        <v>209</v>
      </c>
      <c r="AI4" s="596"/>
      <c r="AJ4" s="592" t="s">
        <v>135</v>
      </c>
      <c r="AK4" s="592" t="s">
        <v>136</v>
      </c>
      <c r="AL4" s="592" t="s">
        <v>137</v>
      </c>
      <c r="AM4" s="592" t="s">
        <v>138</v>
      </c>
      <c r="AN4" s="592" t="s">
        <v>139</v>
      </c>
      <c r="AO4" s="592" t="s">
        <v>140</v>
      </c>
      <c r="AP4" s="592" t="s">
        <v>141</v>
      </c>
      <c r="AQ4" s="592" t="s">
        <v>142</v>
      </c>
      <c r="AR4" s="592" t="s">
        <v>143</v>
      </c>
      <c r="AS4" s="592" t="s">
        <v>144</v>
      </c>
      <c r="AT4" s="592" t="s">
        <v>145</v>
      </c>
      <c r="AU4" s="592" t="s">
        <v>146</v>
      </c>
      <c r="AV4" s="592" t="s">
        <v>147</v>
      </c>
      <c r="AW4" s="592" t="s">
        <v>148</v>
      </c>
      <c r="AX4" s="592" t="s">
        <v>149</v>
      </c>
      <c r="AY4" s="592" t="s">
        <v>150</v>
      </c>
      <c r="AZ4" s="592" t="s">
        <v>151</v>
      </c>
      <c r="BA4" s="592" t="s">
        <v>152</v>
      </c>
      <c r="BB4" s="592" t="s">
        <v>153</v>
      </c>
      <c r="BC4" s="592" t="s">
        <v>154</v>
      </c>
      <c r="BD4" s="592" t="s">
        <v>155</v>
      </c>
      <c r="BE4" s="592" t="s">
        <v>156</v>
      </c>
      <c r="BF4" s="592" t="s">
        <v>157</v>
      </c>
      <c r="BG4" s="592" t="s">
        <v>158</v>
      </c>
      <c r="BH4" s="592" t="s">
        <v>159</v>
      </c>
      <c r="BI4" s="592" t="s">
        <v>160</v>
      </c>
      <c r="BJ4" s="592" t="s">
        <v>161</v>
      </c>
      <c r="BK4" s="592" t="s">
        <v>162</v>
      </c>
      <c r="BL4" s="362" t="s">
        <v>163</v>
      </c>
      <c r="BM4" s="362" t="s">
        <v>209</v>
      </c>
      <c r="BO4" s="596"/>
      <c r="BP4" s="592" t="s">
        <v>135</v>
      </c>
      <c r="BQ4" s="592" t="s">
        <v>136</v>
      </c>
      <c r="BR4" s="592" t="s">
        <v>137</v>
      </c>
      <c r="BS4" s="592" t="s">
        <v>138</v>
      </c>
      <c r="BT4" s="592" t="s">
        <v>139</v>
      </c>
      <c r="BU4" s="592" t="s">
        <v>140</v>
      </c>
      <c r="BV4" s="592" t="s">
        <v>141</v>
      </c>
      <c r="BW4" s="592" t="s">
        <v>142</v>
      </c>
      <c r="BX4" s="592" t="s">
        <v>143</v>
      </c>
      <c r="BY4" s="592" t="s">
        <v>144</v>
      </c>
      <c r="BZ4" s="592" t="s">
        <v>145</v>
      </c>
      <c r="CA4" s="592" t="s">
        <v>146</v>
      </c>
      <c r="CB4" s="592" t="s">
        <v>147</v>
      </c>
      <c r="CC4" s="592" t="s">
        <v>148</v>
      </c>
      <c r="CD4" s="592" t="s">
        <v>149</v>
      </c>
      <c r="CE4" s="592" t="s">
        <v>150</v>
      </c>
      <c r="CF4" s="592" t="s">
        <v>151</v>
      </c>
      <c r="CG4" s="592" t="s">
        <v>152</v>
      </c>
      <c r="CH4" s="592" t="s">
        <v>153</v>
      </c>
      <c r="CI4" s="592" t="s">
        <v>154</v>
      </c>
      <c r="CJ4" s="592" t="s">
        <v>155</v>
      </c>
      <c r="CK4" s="592" t="s">
        <v>156</v>
      </c>
      <c r="CL4" s="592" t="s">
        <v>157</v>
      </c>
      <c r="CM4" s="592" t="s">
        <v>158</v>
      </c>
      <c r="CN4" s="592" t="s">
        <v>159</v>
      </c>
      <c r="CO4" s="592" t="s">
        <v>160</v>
      </c>
      <c r="CP4" s="592" t="s">
        <v>161</v>
      </c>
      <c r="CQ4" s="592" t="s">
        <v>162</v>
      </c>
      <c r="CR4" s="362" t="s">
        <v>163</v>
      </c>
      <c r="CS4" s="362" t="s">
        <v>209</v>
      </c>
    </row>
    <row r="5" spans="2:97" x14ac:dyDescent="0.2">
      <c r="B5" s="364"/>
      <c r="C5" s="59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365" t="s">
        <v>164</v>
      </c>
      <c r="AG5" s="365" t="s">
        <v>210</v>
      </c>
      <c r="AI5" s="597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593"/>
      <c r="BI5" s="593"/>
      <c r="BJ5" s="593"/>
      <c r="BK5" s="593"/>
      <c r="BL5" s="365" t="s">
        <v>164</v>
      </c>
      <c r="BM5" s="365" t="s">
        <v>210</v>
      </c>
      <c r="BO5" s="597"/>
      <c r="BP5" s="593"/>
      <c r="BQ5" s="593"/>
      <c r="BR5" s="593"/>
      <c r="BS5" s="593"/>
      <c r="BT5" s="593"/>
      <c r="BU5" s="593"/>
      <c r="BV5" s="593"/>
      <c r="BW5" s="593"/>
      <c r="BX5" s="593"/>
      <c r="BY5" s="593"/>
      <c r="BZ5" s="593"/>
      <c r="CA5" s="593"/>
      <c r="CB5" s="593"/>
      <c r="CC5" s="593"/>
      <c r="CD5" s="593"/>
      <c r="CE5" s="593"/>
      <c r="CF5" s="593"/>
      <c r="CG5" s="593"/>
      <c r="CH5" s="593"/>
      <c r="CI5" s="593"/>
      <c r="CJ5" s="593"/>
      <c r="CK5" s="593"/>
      <c r="CL5" s="593"/>
      <c r="CM5" s="593"/>
      <c r="CN5" s="593"/>
      <c r="CO5" s="593"/>
      <c r="CP5" s="593"/>
      <c r="CQ5" s="593"/>
      <c r="CR5" s="365" t="s">
        <v>164</v>
      </c>
      <c r="CS5" s="365" t="s">
        <v>210</v>
      </c>
    </row>
    <row r="6" spans="2:97" hidden="1" x14ac:dyDescent="0.2">
      <c r="B6" s="366" t="s">
        <v>211</v>
      </c>
      <c r="C6" s="367">
        <v>17524</v>
      </c>
      <c r="D6" s="368">
        <v>123</v>
      </c>
      <c r="E6" s="368">
        <v>125</v>
      </c>
      <c r="F6" s="368">
        <v>129</v>
      </c>
      <c r="G6" s="368">
        <v>107</v>
      </c>
      <c r="H6" s="368">
        <v>121</v>
      </c>
      <c r="I6" s="368">
        <v>147</v>
      </c>
      <c r="J6" s="368">
        <v>155</v>
      </c>
      <c r="K6" s="368">
        <v>183</v>
      </c>
      <c r="L6" s="368">
        <v>214</v>
      </c>
      <c r="M6" s="368">
        <v>193</v>
      </c>
      <c r="N6" s="368">
        <v>205</v>
      </c>
      <c r="O6" s="368">
        <v>218</v>
      </c>
      <c r="P6" s="368">
        <v>237</v>
      </c>
      <c r="Q6" s="368">
        <v>235</v>
      </c>
      <c r="R6" s="368">
        <v>217</v>
      </c>
      <c r="S6" s="368">
        <v>966</v>
      </c>
      <c r="T6" s="368">
        <v>1141</v>
      </c>
      <c r="U6" s="368">
        <v>1390</v>
      </c>
      <c r="V6" s="368">
        <v>1482</v>
      </c>
      <c r="W6" s="368">
        <v>1197</v>
      </c>
      <c r="X6" s="368">
        <v>1216</v>
      </c>
      <c r="Y6" s="368">
        <v>989</v>
      </c>
      <c r="Z6" s="368">
        <v>917</v>
      </c>
      <c r="AA6" s="368">
        <v>1078</v>
      </c>
      <c r="AB6" s="368">
        <v>1100</v>
      </c>
      <c r="AC6" s="368">
        <v>995</v>
      </c>
      <c r="AD6" s="368">
        <v>785</v>
      </c>
      <c r="AE6" s="368">
        <v>680</v>
      </c>
      <c r="AF6" s="368">
        <v>972</v>
      </c>
      <c r="AG6" s="368">
        <v>7</v>
      </c>
      <c r="AI6" s="367">
        <v>7798</v>
      </c>
      <c r="AJ6" s="368">
        <v>57</v>
      </c>
      <c r="AK6" s="368">
        <v>73</v>
      </c>
      <c r="AL6" s="368">
        <v>65</v>
      </c>
      <c r="AM6" s="368">
        <v>59</v>
      </c>
      <c r="AN6" s="368">
        <v>62</v>
      </c>
      <c r="AO6" s="368">
        <v>69</v>
      </c>
      <c r="AP6" s="368">
        <v>73</v>
      </c>
      <c r="AQ6" s="368">
        <v>104</v>
      </c>
      <c r="AR6" s="368">
        <v>110</v>
      </c>
      <c r="AS6" s="368">
        <v>112</v>
      </c>
      <c r="AT6" s="368">
        <v>95</v>
      </c>
      <c r="AU6" s="368">
        <v>115</v>
      </c>
      <c r="AV6" s="368">
        <v>120</v>
      </c>
      <c r="AW6" s="368">
        <v>107</v>
      </c>
      <c r="AX6" s="368">
        <v>106</v>
      </c>
      <c r="AY6" s="368">
        <v>466</v>
      </c>
      <c r="AZ6" s="368">
        <v>541</v>
      </c>
      <c r="BA6" s="368">
        <v>651</v>
      </c>
      <c r="BB6" s="368">
        <v>666</v>
      </c>
      <c r="BC6" s="368">
        <v>495</v>
      </c>
      <c r="BD6" s="368">
        <v>540</v>
      </c>
      <c r="BE6" s="368">
        <v>461</v>
      </c>
      <c r="BF6" s="368">
        <v>412</v>
      </c>
      <c r="BG6" s="368">
        <v>454</v>
      </c>
      <c r="BH6" s="368">
        <v>475</v>
      </c>
      <c r="BI6" s="368">
        <v>413</v>
      </c>
      <c r="BJ6" s="368">
        <v>324</v>
      </c>
      <c r="BK6" s="368">
        <v>261</v>
      </c>
      <c r="BL6" s="368">
        <v>308</v>
      </c>
      <c r="BM6" s="368">
        <v>4</v>
      </c>
      <c r="BO6" s="367">
        <v>9726</v>
      </c>
      <c r="BP6" s="368">
        <v>66</v>
      </c>
      <c r="BQ6" s="368">
        <v>52</v>
      </c>
      <c r="BR6" s="368">
        <v>64</v>
      </c>
      <c r="BS6" s="368">
        <v>48</v>
      </c>
      <c r="BT6" s="368">
        <v>59</v>
      </c>
      <c r="BU6" s="368">
        <v>78</v>
      </c>
      <c r="BV6" s="368">
        <v>82</v>
      </c>
      <c r="BW6" s="368">
        <v>79</v>
      </c>
      <c r="BX6" s="368">
        <v>104</v>
      </c>
      <c r="BY6" s="368">
        <v>81</v>
      </c>
      <c r="BZ6" s="368">
        <v>110</v>
      </c>
      <c r="CA6" s="368">
        <v>103</v>
      </c>
      <c r="CB6" s="368">
        <v>117</v>
      </c>
      <c r="CC6" s="368">
        <v>128</v>
      </c>
      <c r="CD6" s="368">
        <v>111</v>
      </c>
      <c r="CE6" s="368">
        <v>500</v>
      </c>
      <c r="CF6" s="368">
        <v>600</v>
      </c>
      <c r="CG6" s="368">
        <v>739</v>
      </c>
      <c r="CH6" s="368">
        <v>816</v>
      </c>
      <c r="CI6" s="368">
        <v>702</v>
      </c>
      <c r="CJ6" s="368">
        <v>676</v>
      </c>
      <c r="CK6" s="368">
        <v>528</v>
      </c>
      <c r="CL6" s="368">
        <v>505</v>
      </c>
      <c r="CM6" s="368">
        <v>624</v>
      </c>
      <c r="CN6" s="368">
        <v>625</v>
      </c>
      <c r="CO6" s="368">
        <v>582</v>
      </c>
      <c r="CP6" s="368">
        <v>461</v>
      </c>
      <c r="CQ6" s="368">
        <v>419</v>
      </c>
      <c r="CR6" s="368">
        <v>664</v>
      </c>
      <c r="CS6" s="368">
        <v>3</v>
      </c>
    </row>
    <row r="7" spans="2:97" hidden="1" x14ac:dyDescent="0.2">
      <c r="B7" s="369" t="s">
        <v>212</v>
      </c>
      <c r="C7" s="370">
        <v>32717</v>
      </c>
      <c r="D7" s="371">
        <v>184</v>
      </c>
      <c r="E7" s="371">
        <v>213</v>
      </c>
      <c r="F7" s="371">
        <v>168</v>
      </c>
      <c r="G7" s="371">
        <v>243</v>
      </c>
      <c r="H7" s="371">
        <v>250</v>
      </c>
      <c r="I7" s="371">
        <v>269</v>
      </c>
      <c r="J7" s="371">
        <v>292</v>
      </c>
      <c r="K7" s="371">
        <v>325</v>
      </c>
      <c r="L7" s="371">
        <v>364</v>
      </c>
      <c r="M7" s="371">
        <v>337</v>
      </c>
      <c r="N7" s="371">
        <v>335</v>
      </c>
      <c r="O7" s="371">
        <v>359</v>
      </c>
      <c r="P7" s="371">
        <v>364</v>
      </c>
      <c r="Q7" s="371">
        <v>379</v>
      </c>
      <c r="R7" s="371">
        <v>392</v>
      </c>
      <c r="S7" s="371">
        <v>1883</v>
      </c>
      <c r="T7" s="371">
        <v>2177</v>
      </c>
      <c r="U7" s="371">
        <v>2446</v>
      </c>
      <c r="V7" s="371">
        <v>2506</v>
      </c>
      <c r="W7" s="371">
        <v>2436</v>
      </c>
      <c r="X7" s="371">
        <v>2107</v>
      </c>
      <c r="Y7" s="371">
        <v>1925</v>
      </c>
      <c r="Z7" s="371">
        <v>1899</v>
      </c>
      <c r="AA7" s="371">
        <v>2130</v>
      </c>
      <c r="AB7" s="371">
        <v>2206</v>
      </c>
      <c r="AC7" s="371">
        <v>1820</v>
      </c>
      <c r="AD7" s="371">
        <v>1440</v>
      </c>
      <c r="AE7" s="371">
        <v>1234</v>
      </c>
      <c r="AF7" s="371">
        <v>2010</v>
      </c>
      <c r="AG7" s="371">
        <v>24</v>
      </c>
      <c r="AI7" s="370">
        <v>15125</v>
      </c>
      <c r="AJ7" s="371">
        <v>92</v>
      </c>
      <c r="AK7" s="371">
        <v>114</v>
      </c>
      <c r="AL7" s="371">
        <v>92</v>
      </c>
      <c r="AM7" s="371">
        <v>131</v>
      </c>
      <c r="AN7" s="371">
        <v>144</v>
      </c>
      <c r="AO7" s="371">
        <v>126</v>
      </c>
      <c r="AP7" s="371">
        <v>156</v>
      </c>
      <c r="AQ7" s="371">
        <v>145</v>
      </c>
      <c r="AR7" s="371">
        <v>192</v>
      </c>
      <c r="AS7" s="371">
        <v>182</v>
      </c>
      <c r="AT7" s="371">
        <v>175</v>
      </c>
      <c r="AU7" s="371">
        <v>185</v>
      </c>
      <c r="AV7" s="371">
        <v>195</v>
      </c>
      <c r="AW7" s="371">
        <v>182</v>
      </c>
      <c r="AX7" s="371">
        <v>191</v>
      </c>
      <c r="AY7" s="371">
        <v>923</v>
      </c>
      <c r="AZ7" s="371">
        <v>1080</v>
      </c>
      <c r="BA7" s="371">
        <v>1155</v>
      </c>
      <c r="BB7" s="371">
        <v>1214</v>
      </c>
      <c r="BC7" s="371">
        <v>1179</v>
      </c>
      <c r="BD7" s="371">
        <v>1030</v>
      </c>
      <c r="BE7" s="371">
        <v>876</v>
      </c>
      <c r="BF7" s="371">
        <v>852</v>
      </c>
      <c r="BG7" s="371">
        <v>972</v>
      </c>
      <c r="BH7" s="371">
        <v>963</v>
      </c>
      <c r="BI7" s="371">
        <v>807</v>
      </c>
      <c r="BJ7" s="371">
        <v>632</v>
      </c>
      <c r="BK7" s="371">
        <v>459</v>
      </c>
      <c r="BL7" s="371">
        <v>666</v>
      </c>
      <c r="BM7" s="371">
        <v>15</v>
      </c>
      <c r="BO7" s="370">
        <v>17592</v>
      </c>
      <c r="BP7" s="371">
        <v>92</v>
      </c>
      <c r="BQ7" s="371">
        <v>99</v>
      </c>
      <c r="BR7" s="371">
        <v>76</v>
      </c>
      <c r="BS7" s="371">
        <v>112</v>
      </c>
      <c r="BT7" s="371">
        <v>106</v>
      </c>
      <c r="BU7" s="371">
        <v>143</v>
      </c>
      <c r="BV7" s="371">
        <v>136</v>
      </c>
      <c r="BW7" s="371">
        <v>180</v>
      </c>
      <c r="BX7" s="371">
        <v>172</v>
      </c>
      <c r="BY7" s="371">
        <v>155</v>
      </c>
      <c r="BZ7" s="371">
        <v>160</v>
      </c>
      <c r="CA7" s="371">
        <v>174</v>
      </c>
      <c r="CB7" s="371">
        <v>169</v>
      </c>
      <c r="CC7" s="371">
        <v>197</v>
      </c>
      <c r="CD7" s="371">
        <v>201</v>
      </c>
      <c r="CE7" s="371">
        <v>960</v>
      </c>
      <c r="CF7" s="371">
        <v>1097</v>
      </c>
      <c r="CG7" s="371">
        <v>1291</v>
      </c>
      <c r="CH7" s="371">
        <v>1292</v>
      </c>
      <c r="CI7" s="371">
        <v>1257</v>
      </c>
      <c r="CJ7" s="371">
        <v>1077</v>
      </c>
      <c r="CK7" s="371">
        <v>1049</v>
      </c>
      <c r="CL7" s="371">
        <v>1047</v>
      </c>
      <c r="CM7" s="371">
        <v>1158</v>
      </c>
      <c r="CN7" s="371">
        <v>1243</v>
      </c>
      <c r="CO7" s="371">
        <v>1013</v>
      </c>
      <c r="CP7" s="371">
        <v>808</v>
      </c>
      <c r="CQ7" s="371">
        <v>775</v>
      </c>
      <c r="CR7" s="371">
        <v>1344</v>
      </c>
      <c r="CS7" s="371">
        <v>9</v>
      </c>
    </row>
    <row r="8" spans="2:97" hidden="1" x14ac:dyDescent="0.2">
      <c r="B8" s="369" t="s">
        <v>213</v>
      </c>
      <c r="C8" s="370">
        <v>29132.592000000001</v>
      </c>
      <c r="D8" s="371">
        <v>211.072</v>
      </c>
      <c r="E8" s="371">
        <v>205.64</v>
      </c>
      <c r="F8" s="371">
        <v>207.96800000000002</v>
      </c>
      <c r="G8" s="371">
        <v>235.904</v>
      </c>
      <c r="H8" s="371">
        <v>262.28800000000001</v>
      </c>
      <c r="I8" s="371">
        <v>280.13600000000002</v>
      </c>
      <c r="J8" s="371">
        <v>297.20800000000003</v>
      </c>
      <c r="K8" s="371">
        <v>346.096</v>
      </c>
      <c r="L8" s="371">
        <v>367.048</v>
      </c>
      <c r="M8" s="371">
        <v>376.36</v>
      </c>
      <c r="N8" s="371">
        <v>358.512</v>
      </c>
      <c r="O8" s="371">
        <v>394.20800000000003</v>
      </c>
      <c r="P8" s="371">
        <v>386.44799999999998</v>
      </c>
      <c r="Q8" s="371">
        <v>324.36799999999999</v>
      </c>
      <c r="R8" s="371">
        <v>384.12</v>
      </c>
      <c r="S8" s="371">
        <v>1862.4</v>
      </c>
      <c r="T8" s="371">
        <v>2126.2399999999998</v>
      </c>
      <c r="U8" s="371">
        <v>2233.328</v>
      </c>
      <c r="V8" s="371">
        <v>2317.9120000000003</v>
      </c>
      <c r="W8" s="371">
        <v>2099.8559999999998</v>
      </c>
      <c r="X8" s="371">
        <v>1936.1200000000001</v>
      </c>
      <c r="Y8" s="371">
        <v>1773.16</v>
      </c>
      <c r="Z8" s="371">
        <v>1748.328</v>
      </c>
      <c r="AA8" s="371">
        <v>1856.9680000000001</v>
      </c>
      <c r="AB8" s="371">
        <v>1756.0880000000002</v>
      </c>
      <c r="AC8" s="371">
        <v>1442.5840000000001</v>
      </c>
      <c r="AD8" s="371">
        <v>1115.8879999999999</v>
      </c>
      <c r="AE8" s="371">
        <v>973.88000000000011</v>
      </c>
      <c r="AF8" s="371">
        <v>1240.8240000000001</v>
      </c>
      <c r="AG8" s="371">
        <v>11.64</v>
      </c>
      <c r="AI8" s="370">
        <v>13462.824000000002</v>
      </c>
      <c r="AJ8" s="371">
        <v>94.671999999999997</v>
      </c>
      <c r="AK8" s="371">
        <v>105.536</v>
      </c>
      <c r="AL8" s="371">
        <v>109.416</v>
      </c>
      <c r="AM8" s="371">
        <v>135.80000000000001</v>
      </c>
      <c r="AN8" s="371">
        <v>131.14400000000001</v>
      </c>
      <c r="AO8" s="371">
        <v>144.33600000000001</v>
      </c>
      <c r="AP8" s="371">
        <v>156.75200000000001</v>
      </c>
      <c r="AQ8" s="371">
        <v>171.49600000000001</v>
      </c>
      <c r="AR8" s="371">
        <v>182.36</v>
      </c>
      <c r="AS8" s="371">
        <v>197.10400000000001</v>
      </c>
      <c r="AT8" s="371">
        <v>175.376</v>
      </c>
      <c r="AU8" s="371">
        <v>214.17600000000002</v>
      </c>
      <c r="AV8" s="371">
        <v>195.55199999999999</v>
      </c>
      <c r="AW8" s="371">
        <v>168.392</v>
      </c>
      <c r="AX8" s="371">
        <v>189.34399999999999</v>
      </c>
      <c r="AY8" s="371">
        <v>930.42399999999998</v>
      </c>
      <c r="AZ8" s="371">
        <v>1050.704</v>
      </c>
      <c r="BA8" s="371">
        <v>1092.6079999999999</v>
      </c>
      <c r="BB8" s="371">
        <v>1040.616</v>
      </c>
      <c r="BC8" s="371">
        <v>946.72</v>
      </c>
      <c r="BD8" s="371">
        <v>860.58400000000006</v>
      </c>
      <c r="BE8" s="371">
        <v>796.17600000000004</v>
      </c>
      <c r="BF8" s="371">
        <v>782.98400000000004</v>
      </c>
      <c r="BG8" s="371">
        <v>861.36</v>
      </c>
      <c r="BH8" s="371">
        <v>782.98400000000004</v>
      </c>
      <c r="BI8" s="371">
        <v>620.024</v>
      </c>
      <c r="BJ8" s="371">
        <v>464.048</v>
      </c>
      <c r="BK8" s="371">
        <v>411.28000000000003</v>
      </c>
      <c r="BL8" s="371">
        <v>443.096</v>
      </c>
      <c r="BM8" s="371">
        <v>7.76</v>
      </c>
      <c r="BO8" s="370">
        <v>15669.767999999998</v>
      </c>
      <c r="BP8" s="371">
        <v>116.4</v>
      </c>
      <c r="BQ8" s="371">
        <v>100.104</v>
      </c>
      <c r="BR8" s="371">
        <v>98.552000000000007</v>
      </c>
      <c r="BS8" s="371">
        <v>100.104</v>
      </c>
      <c r="BT8" s="371">
        <v>131.14400000000001</v>
      </c>
      <c r="BU8" s="371">
        <v>135.80000000000001</v>
      </c>
      <c r="BV8" s="371">
        <v>140.45600000000002</v>
      </c>
      <c r="BW8" s="371">
        <v>174.6</v>
      </c>
      <c r="BX8" s="371">
        <v>184.68800000000002</v>
      </c>
      <c r="BY8" s="371">
        <v>179.256</v>
      </c>
      <c r="BZ8" s="371">
        <v>183.136</v>
      </c>
      <c r="CA8" s="371">
        <v>180.03200000000001</v>
      </c>
      <c r="CB8" s="371">
        <v>190.89600000000002</v>
      </c>
      <c r="CC8" s="371">
        <v>155.976</v>
      </c>
      <c r="CD8" s="371">
        <v>194.77600000000001</v>
      </c>
      <c r="CE8" s="371">
        <v>931.976</v>
      </c>
      <c r="CF8" s="371">
        <v>1075.5360000000001</v>
      </c>
      <c r="CG8" s="371">
        <v>1140.72</v>
      </c>
      <c r="CH8" s="371">
        <v>1277.296</v>
      </c>
      <c r="CI8" s="371">
        <v>1153.136</v>
      </c>
      <c r="CJ8" s="371">
        <v>1075.5360000000001</v>
      </c>
      <c r="CK8" s="371">
        <v>976.98400000000004</v>
      </c>
      <c r="CL8" s="371">
        <v>965.34400000000005</v>
      </c>
      <c r="CM8" s="371">
        <v>995.60800000000006</v>
      </c>
      <c r="CN8" s="371">
        <v>973.10400000000004</v>
      </c>
      <c r="CO8" s="371">
        <v>822.56000000000006</v>
      </c>
      <c r="CP8" s="371">
        <v>651.84</v>
      </c>
      <c r="CQ8" s="371">
        <v>562.6</v>
      </c>
      <c r="CR8" s="371">
        <v>797.72800000000007</v>
      </c>
      <c r="CS8" s="371">
        <v>3.88</v>
      </c>
    </row>
    <row r="9" spans="2:97" hidden="1" x14ac:dyDescent="0.2">
      <c r="B9" s="369" t="s">
        <v>214</v>
      </c>
      <c r="C9" s="370">
        <v>14848</v>
      </c>
      <c r="D9" s="371">
        <v>101</v>
      </c>
      <c r="E9" s="371">
        <v>110</v>
      </c>
      <c r="F9" s="371">
        <v>120</v>
      </c>
      <c r="G9" s="371">
        <v>135</v>
      </c>
      <c r="H9" s="371">
        <v>140</v>
      </c>
      <c r="I9" s="371">
        <v>136</v>
      </c>
      <c r="J9" s="371">
        <v>163</v>
      </c>
      <c r="K9" s="371">
        <v>146</v>
      </c>
      <c r="L9" s="371">
        <v>199</v>
      </c>
      <c r="M9" s="371">
        <v>173</v>
      </c>
      <c r="N9" s="371">
        <v>193</v>
      </c>
      <c r="O9" s="371">
        <v>202</v>
      </c>
      <c r="P9" s="371">
        <v>201</v>
      </c>
      <c r="Q9" s="371">
        <v>190</v>
      </c>
      <c r="R9" s="371">
        <v>177</v>
      </c>
      <c r="S9" s="371">
        <v>919</v>
      </c>
      <c r="T9" s="371">
        <v>1066</v>
      </c>
      <c r="U9" s="371">
        <v>1131</v>
      </c>
      <c r="V9" s="371">
        <v>1225</v>
      </c>
      <c r="W9" s="371">
        <v>1195</v>
      </c>
      <c r="X9" s="371">
        <v>1039</v>
      </c>
      <c r="Y9" s="371">
        <v>948</v>
      </c>
      <c r="Z9" s="371">
        <v>906</v>
      </c>
      <c r="AA9" s="371">
        <v>1000</v>
      </c>
      <c r="AB9" s="371">
        <v>871</v>
      </c>
      <c r="AC9" s="371">
        <v>720</v>
      </c>
      <c r="AD9" s="371">
        <v>526</v>
      </c>
      <c r="AE9" s="371">
        <v>385</v>
      </c>
      <c r="AF9" s="371">
        <v>525</v>
      </c>
      <c r="AG9" s="371">
        <v>6</v>
      </c>
      <c r="AI9" s="370">
        <v>7030</v>
      </c>
      <c r="AJ9" s="371">
        <v>48</v>
      </c>
      <c r="AK9" s="371">
        <v>50</v>
      </c>
      <c r="AL9" s="371">
        <v>57</v>
      </c>
      <c r="AM9" s="371">
        <v>75</v>
      </c>
      <c r="AN9" s="371">
        <v>80</v>
      </c>
      <c r="AO9" s="371">
        <v>72</v>
      </c>
      <c r="AP9" s="371">
        <v>83</v>
      </c>
      <c r="AQ9" s="371">
        <v>80</v>
      </c>
      <c r="AR9" s="371">
        <v>100</v>
      </c>
      <c r="AS9" s="371">
        <v>90</v>
      </c>
      <c r="AT9" s="371">
        <v>100</v>
      </c>
      <c r="AU9" s="371">
        <v>102</v>
      </c>
      <c r="AV9" s="371">
        <v>101</v>
      </c>
      <c r="AW9" s="371">
        <v>92</v>
      </c>
      <c r="AX9" s="371">
        <v>94</v>
      </c>
      <c r="AY9" s="371">
        <v>455</v>
      </c>
      <c r="AZ9" s="371">
        <v>531</v>
      </c>
      <c r="BA9" s="371">
        <v>545</v>
      </c>
      <c r="BB9" s="371">
        <v>597</v>
      </c>
      <c r="BC9" s="371">
        <v>545</v>
      </c>
      <c r="BD9" s="371">
        <v>489</v>
      </c>
      <c r="BE9" s="371">
        <v>459</v>
      </c>
      <c r="BF9" s="371">
        <v>440</v>
      </c>
      <c r="BG9" s="371">
        <v>451</v>
      </c>
      <c r="BH9" s="371">
        <v>413</v>
      </c>
      <c r="BI9" s="371">
        <v>314</v>
      </c>
      <c r="BJ9" s="371">
        <v>240</v>
      </c>
      <c r="BK9" s="371">
        <v>148</v>
      </c>
      <c r="BL9" s="371">
        <v>174</v>
      </c>
      <c r="BM9" s="371">
        <v>5</v>
      </c>
      <c r="BO9" s="370">
        <v>7818</v>
      </c>
      <c r="BP9" s="371">
        <v>53</v>
      </c>
      <c r="BQ9" s="371">
        <v>60</v>
      </c>
      <c r="BR9" s="371">
        <v>63</v>
      </c>
      <c r="BS9" s="371">
        <v>60</v>
      </c>
      <c r="BT9" s="371">
        <v>60</v>
      </c>
      <c r="BU9" s="371">
        <v>64</v>
      </c>
      <c r="BV9" s="371">
        <v>80</v>
      </c>
      <c r="BW9" s="371">
        <v>66</v>
      </c>
      <c r="BX9" s="371">
        <v>99</v>
      </c>
      <c r="BY9" s="371">
        <v>83</v>
      </c>
      <c r="BZ9" s="371">
        <v>93</v>
      </c>
      <c r="CA9" s="371">
        <v>100</v>
      </c>
      <c r="CB9" s="371">
        <v>100</v>
      </c>
      <c r="CC9" s="371">
        <v>98</v>
      </c>
      <c r="CD9" s="371">
        <v>83</v>
      </c>
      <c r="CE9" s="371">
        <v>464</v>
      </c>
      <c r="CF9" s="371">
        <v>535</v>
      </c>
      <c r="CG9" s="371">
        <v>586</v>
      </c>
      <c r="CH9" s="371">
        <v>628</v>
      </c>
      <c r="CI9" s="371">
        <v>650</v>
      </c>
      <c r="CJ9" s="371">
        <v>550</v>
      </c>
      <c r="CK9" s="371">
        <v>489</v>
      </c>
      <c r="CL9" s="371">
        <v>466</v>
      </c>
      <c r="CM9" s="371">
        <v>549</v>
      </c>
      <c r="CN9" s="371">
        <v>458</v>
      </c>
      <c r="CO9" s="371">
        <v>406</v>
      </c>
      <c r="CP9" s="371">
        <v>286</v>
      </c>
      <c r="CQ9" s="371">
        <v>237</v>
      </c>
      <c r="CR9" s="371">
        <v>351</v>
      </c>
      <c r="CS9" s="371">
        <v>1</v>
      </c>
    </row>
    <row r="10" spans="2:97" hidden="1" x14ac:dyDescent="0.2">
      <c r="B10" s="369" t="s">
        <v>215</v>
      </c>
      <c r="C10" s="370">
        <v>27782</v>
      </c>
      <c r="D10" s="371">
        <v>229</v>
      </c>
      <c r="E10" s="371">
        <v>205</v>
      </c>
      <c r="F10" s="371">
        <v>185</v>
      </c>
      <c r="G10" s="371">
        <v>236</v>
      </c>
      <c r="H10" s="371">
        <v>233</v>
      </c>
      <c r="I10" s="371">
        <v>279</v>
      </c>
      <c r="J10" s="371">
        <v>262</v>
      </c>
      <c r="K10" s="371">
        <v>288</v>
      </c>
      <c r="L10" s="371">
        <v>352</v>
      </c>
      <c r="M10" s="371">
        <v>336</v>
      </c>
      <c r="N10" s="371">
        <v>325</v>
      </c>
      <c r="O10" s="371">
        <v>342</v>
      </c>
      <c r="P10" s="371">
        <v>345</v>
      </c>
      <c r="Q10" s="371">
        <v>297</v>
      </c>
      <c r="R10" s="371">
        <v>382</v>
      </c>
      <c r="S10" s="371">
        <v>1710</v>
      </c>
      <c r="T10" s="371">
        <v>1906</v>
      </c>
      <c r="U10" s="371">
        <v>2129</v>
      </c>
      <c r="V10" s="371">
        <v>2311</v>
      </c>
      <c r="W10" s="371">
        <v>1990</v>
      </c>
      <c r="X10" s="371">
        <v>1823</v>
      </c>
      <c r="Y10" s="371">
        <v>1576</v>
      </c>
      <c r="Z10" s="371">
        <v>1509</v>
      </c>
      <c r="AA10" s="371">
        <v>1781</v>
      </c>
      <c r="AB10" s="371">
        <v>1918</v>
      </c>
      <c r="AC10" s="371">
        <v>1618</v>
      </c>
      <c r="AD10" s="371">
        <v>1101</v>
      </c>
      <c r="AE10" s="371">
        <v>830</v>
      </c>
      <c r="AF10" s="371">
        <v>1270</v>
      </c>
      <c r="AG10" s="371">
        <v>14</v>
      </c>
      <c r="AI10" s="370">
        <v>12077</v>
      </c>
      <c r="AJ10" s="371">
        <v>114</v>
      </c>
      <c r="AK10" s="371">
        <v>114</v>
      </c>
      <c r="AL10" s="371">
        <v>85</v>
      </c>
      <c r="AM10" s="371">
        <v>124</v>
      </c>
      <c r="AN10" s="371">
        <v>123</v>
      </c>
      <c r="AO10" s="371">
        <v>144</v>
      </c>
      <c r="AP10" s="371">
        <v>133</v>
      </c>
      <c r="AQ10" s="371">
        <v>142</v>
      </c>
      <c r="AR10" s="371">
        <v>186</v>
      </c>
      <c r="AS10" s="371">
        <v>164</v>
      </c>
      <c r="AT10" s="371">
        <v>162</v>
      </c>
      <c r="AU10" s="371">
        <v>166</v>
      </c>
      <c r="AV10" s="371">
        <v>167</v>
      </c>
      <c r="AW10" s="371">
        <v>131</v>
      </c>
      <c r="AX10" s="371">
        <v>202</v>
      </c>
      <c r="AY10" s="371">
        <v>865</v>
      </c>
      <c r="AZ10" s="371">
        <v>919</v>
      </c>
      <c r="BA10" s="371">
        <v>1000</v>
      </c>
      <c r="BB10" s="371">
        <v>958</v>
      </c>
      <c r="BC10" s="371">
        <v>852</v>
      </c>
      <c r="BD10" s="371">
        <v>745</v>
      </c>
      <c r="BE10" s="371">
        <v>668</v>
      </c>
      <c r="BF10" s="371">
        <v>590</v>
      </c>
      <c r="BG10" s="371">
        <v>725</v>
      </c>
      <c r="BH10" s="371">
        <v>817</v>
      </c>
      <c r="BI10" s="371">
        <v>669</v>
      </c>
      <c r="BJ10" s="371">
        <v>453</v>
      </c>
      <c r="BK10" s="371">
        <v>301</v>
      </c>
      <c r="BL10" s="371">
        <v>348</v>
      </c>
      <c r="BM10" s="371">
        <v>10</v>
      </c>
      <c r="BO10" s="370">
        <v>15705</v>
      </c>
      <c r="BP10" s="371">
        <v>115</v>
      </c>
      <c r="BQ10" s="371">
        <v>91</v>
      </c>
      <c r="BR10" s="371">
        <v>100</v>
      </c>
      <c r="BS10" s="371">
        <v>112</v>
      </c>
      <c r="BT10" s="371">
        <v>110</v>
      </c>
      <c r="BU10" s="371">
        <v>135</v>
      </c>
      <c r="BV10" s="371">
        <v>129</v>
      </c>
      <c r="BW10" s="371">
        <v>146</v>
      </c>
      <c r="BX10" s="371">
        <v>166</v>
      </c>
      <c r="BY10" s="371">
        <v>172</v>
      </c>
      <c r="BZ10" s="371">
        <v>163</v>
      </c>
      <c r="CA10" s="371">
        <v>176</v>
      </c>
      <c r="CB10" s="371">
        <v>178</v>
      </c>
      <c r="CC10" s="371">
        <v>166</v>
      </c>
      <c r="CD10" s="371">
        <v>180</v>
      </c>
      <c r="CE10" s="371">
        <v>845</v>
      </c>
      <c r="CF10" s="371">
        <v>987</v>
      </c>
      <c r="CG10" s="371">
        <v>1129</v>
      </c>
      <c r="CH10" s="371">
        <v>1353</v>
      </c>
      <c r="CI10" s="371">
        <v>1138</v>
      </c>
      <c r="CJ10" s="371">
        <v>1078</v>
      </c>
      <c r="CK10" s="371">
        <v>908</v>
      </c>
      <c r="CL10" s="371">
        <v>919</v>
      </c>
      <c r="CM10" s="371">
        <v>1056</v>
      </c>
      <c r="CN10" s="371">
        <v>1101</v>
      </c>
      <c r="CO10" s="371">
        <v>949</v>
      </c>
      <c r="CP10" s="371">
        <v>648</v>
      </c>
      <c r="CQ10" s="371">
        <v>529</v>
      </c>
      <c r="CR10" s="371">
        <v>922</v>
      </c>
      <c r="CS10" s="371">
        <v>4</v>
      </c>
    </row>
    <row r="11" spans="2:97" hidden="1" x14ac:dyDescent="0.2">
      <c r="B11" s="369" t="s">
        <v>216</v>
      </c>
      <c r="C11" s="370">
        <v>11005</v>
      </c>
      <c r="D11" s="371">
        <v>96</v>
      </c>
      <c r="E11" s="371">
        <v>67</v>
      </c>
      <c r="F11" s="371">
        <v>63</v>
      </c>
      <c r="G11" s="371">
        <v>79</v>
      </c>
      <c r="H11" s="371">
        <v>97</v>
      </c>
      <c r="I11" s="371">
        <v>112</v>
      </c>
      <c r="J11" s="371">
        <v>142</v>
      </c>
      <c r="K11" s="371">
        <v>139</v>
      </c>
      <c r="L11" s="371">
        <v>145</v>
      </c>
      <c r="M11" s="371">
        <v>156</v>
      </c>
      <c r="N11" s="371">
        <v>151</v>
      </c>
      <c r="O11" s="371">
        <v>161</v>
      </c>
      <c r="P11" s="371">
        <v>151</v>
      </c>
      <c r="Q11" s="371">
        <v>131</v>
      </c>
      <c r="R11" s="371">
        <v>172</v>
      </c>
      <c r="S11" s="371">
        <v>747</v>
      </c>
      <c r="T11" s="371">
        <v>746</v>
      </c>
      <c r="U11" s="371">
        <v>859</v>
      </c>
      <c r="V11" s="371">
        <v>906</v>
      </c>
      <c r="W11" s="371">
        <v>825</v>
      </c>
      <c r="X11" s="371">
        <v>675</v>
      </c>
      <c r="Y11" s="371">
        <v>581</v>
      </c>
      <c r="Z11" s="371">
        <v>660</v>
      </c>
      <c r="AA11" s="371">
        <v>698</v>
      </c>
      <c r="AB11" s="371">
        <v>694</v>
      </c>
      <c r="AC11" s="371">
        <v>502</v>
      </c>
      <c r="AD11" s="371">
        <v>425</v>
      </c>
      <c r="AE11" s="371">
        <v>371</v>
      </c>
      <c r="AF11" s="371">
        <v>453</v>
      </c>
      <c r="AG11" s="371">
        <v>1</v>
      </c>
      <c r="AI11" s="370">
        <v>5109</v>
      </c>
      <c r="AJ11" s="371">
        <v>45</v>
      </c>
      <c r="AK11" s="371">
        <v>34</v>
      </c>
      <c r="AL11" s="371">
        <v>28</v>
      </c>
      <c r="AM11" s="371">
        <v>47</v>
      </c>
      <c r="AN11" s="371">
        <v>44</v>
      </c>
      <c r="AO11" s="371">
        <v>59</v>
      </c>
      <c r="AP11" s="371">
        <v>66</v>
      </c>
      <c r="AQ11" s="371">
        <v>66</v>
      </c>
      <c r="AR11" s="371">
        <v>72</v>
      </c>
      <c r="AS11" s="371">
        <v>71</v>
      </c>
      <c r="AT11" s="371">
        <v>85</v>
      </c>
      <c r="AU11" s="371">
        <v>82</v>
      </c>
      <c r="AV11" s="371">
        <v>70</v>
      </c>
      <c r="AW11" s="371">
        <v>68</v>
      </c>
      <c r="AX11" s="371">
        <v>79</v>
      </c>
      <c r="AY11" s="371">
        <v>407</v>
      </c>
      <c r="AZ11" s="371">
        <v>368</v>
      </c>
      <c r="BA11" s="371">
        <v>401</v>
      </c>
      <c r="BB11" s="371">
        <v>433</v>
      </c>
      <c r="BC11" s="371">
        <v>380</v>
      </c>
      <c r="BD11" s="371">
        <v>290</v>
      </c>
      <c r="BE11" s="371">
        <v>251</v>
      </c>
      <c r="BF11" s="371">
        <v>294</v>
      </c>
      <c r="BG11" s="371">
        <v>305</v>
      </c>
      <c r="BH11" s="371">
        <v>337</v>
      </c>
      <c r="BI11" s="371">
        <v>233</v>
      </c>
      <c r="BJ11" s="371">
        <v>188</v>
      </c>
      <c r="BK11" s="371">
        <v>149</v>
      </c>
      <c r="BL11" s="371">
        <v>157</v>
      </c>
      <c r="BM11" s="371">
        <v>0</v>
      </c>
      <c r="BO11" s="370">
        <v>5896</v>
      </c>
      <c r="BP11" s="371">
        <v>51</v>
      </c>
      <c r="BQ11" s="371">
        <v>33</v>
      </c>
      <c r="BR11" s="371">
        <v>35</v>
      </c>
      <c r="BS11" s="371">
        <v>32</v>
      </c>
      <c r="BT11" s="371">
        <v>53</v>
      </c>
      <c r="BU11" s="371">
        <v>53</v>
      </c>
      <c r="BV11" s="371">
        <v>76</v>
      </c>
      <c r="BW11" s="371">
        <v>73</v>
      </c>
      <c r="BX11" s="371">
        <v>73</v>
      </c>
      <c r="BY11" s="371">
        <v>85</v>
      </c>
      <c r="BZ11" s="371">
        <v>66</v>
      </c>
      <c r="CA11" s="371">
        <v>79</v>
      </c>
      <c r="CB11" s="371">
        <v>81</v>
      </c>
      <c r="CC11" s="371">
        <v>63</v>
      </c>
      <c r="CD11" s="371">
        <v>93</v>
      </c>
      <c r="CE11" s="371">
        <v>340</v>
      </c>
      <c r="CF11" s="371">
        <v>378</v>
      </c>
      <c r="CG11" s="371">
        <v>458</v>
      </c>
      <c r="CH11" s="371">
        <v>473</v>
      </c>
      <c r="CI11" s="371">
        <v>445</v>
      </c>
      <c r="CJ11" s="371">
        <v>385</v>
      </c>
      <c r="CK11" s="371">
        <v>330</v>
      </c>
      <c r="CL11" s="371">
        <v>366</v>
      </c>
      <c r="CM11" s="371">
        <v>393</v>
      </c>
      <c r="CN11" s="371">
        <v>357</v>
      </c>
      <c r="CO11" s="371">
        <v>269</v>
      </c>
      <c r="CP11" s="371">
        <v>237</v>
      </c>
      <c r="CQ11" s="371">
        <v>222</v>
      </c>
      <c r="CR11" s="371">
        <v>296</v>
      </c>
      <c r="CS11" s="371">
        <v>1</v>
      </c>
    </row>
    <row r="12" spans="2:97" hidden="1" x14ac:dyDescent="0.2">
      <c r="B12" s="369" t="s">
        <v>217</v>
      </c>
      <c r="C12" s="370">
        <v>33561</v>
      </c>
      <c r="D12" s="371">
        <v>132</v>
      </c>
      <c r="E12" s="371">
        <v>198</v>
      </c>
      <c r="F12" s="371">
        <v>182</v>
      </c>
      <c r="G12" s="371">
        <v>212</v>
      </c>
      <c r="H12" s="371">
        <v>234</v>
      </c>
      <c r="I12" s="371">
        <v>213</v>
      </c>
      <c r="J12" s="371">
        <v>279</v>
      </c>
      <c r="K12" s="371">
        <v>268</v>
      </c>
      <c r="L12" s="371">
        <v>307</v>
      </c>
      <c r="M12" s="371">
        <v>256</v>
      </c>
      <c r="N12" s="371">
        <v>255</v>
      </c>
      <c r="O12" s="371">
        <v>301</v>
      </c>
      <c r="P12" s="371">
        <v>285</v>
      </c>
      <c r="Q12" s="371">
        <v>320</v>
      </c>
      <c r="R12" s="371">
        <v>331</v>
      </c>
      <c r="S12" s="371">
        <v>1522</v>
      </c>
      <c r="T12" s="371">
        <v>1976</v>
      </c>
      <c r="U12" s="371">
        <v>2714</v>
      </c>
      <c r="V12" s="371">
        <v>2956</v>
      </c>
      <c r="W12" s="371">
        <v>2544</v>
      </c>
      <c r="X12" s="371">
        <v>2148</v>
      </c>
      <c r="Y12" s="371">
        <v>1824</v>
      </c>
      <c r="Z12" s="371">
        <v>1911</v>
      </c>
      <c r="AA12" s="371">
        <v>2120</v>
      </c>
      <c r="AB12" s="371">
        <v>2274</v>
      </c>
      <c r="AC12" s="371">
        <v>2058</v>
      </c>
      <c r="AD12" s="371">
        <v>1688</v>
      </c>
      <c r="AE12" s="371">
        <v>1522</v>
      </c>
      <c r="AF12" s="371">
        <v>2521</v>
      </c>
      <c r="AG12" s="371">
        <v>10</v>
      </c>
      <c r="AI12" s="370">
        <v>14454</v>
      </c>
      <c r="AJ12" s="371">
        <v>73</v>
      </c>
      <c r="AK12" s="371">
        <v>100</v>
      </c>
      <c r="AL12" s="371">
        <v>90</v>
      </c>
      <c r="AM12" s="371">
        <v>101</v>
      </c>
      <c r="AN12" s="371">
        <v>130</v>
      </c>
      <c r="AO12" s="371">
        <v>111</v>
      </c>
      <c r="AP12" s="371">
        <v>147</v>
      </c>
      <c r="AQ12" s="371">
        <v>134</v>
      </c>
      <c r="AR12" s="371">
        <v>150</v>
      </c>
      <c r="AS12" s="371">
        <v>125</v>
      </c>
      <c r="AT12" s="371">
        <v>138</v>
      </c>
      <c r="AU12" s="371">
        <v>146</v>
      </c>
      <c r="AV12" s="371">
        <v>154</v>
      </c>
      <c r="AW12" s="371">
        <v>163</v>
      </c>
      <c r="AX12" s="371">
        <v>162</v>
      </c>
      <c r="AY12" s="371">
        <v>737</v>
      </c>
      <c r="AZ12" s="371">
        <v>932</v>
      </c>
      <c r="BA12" s="371">
        <v>1267</v>
      </c>
      <c r="BB12" s="371">
        <v>1334</v>
      </c>
      <c r="BC12" s="371">
        <v>1138</v>
      </c>
      <c r="BD12" s="371">
        <v>966</v>
      </c>
      <c r="BE12" s="371">
        <v>790</v>
      </c>
      <c r="BF12" s="371">
        <v>801</v>
      </c>
      <c r="BG12" s="371">
        <v>852</v>
      </c>
      <c r="BH12" s="371">
        <v>923</v>
      </c>
      <c r="BI12" s="371">
        <v>783</v>
      </c>
      <c r="BJ12" s="371">
        <v>650</v>
      </c>
      <c r="BK12" s="371">
        <v>568</v>
      </c>
      <c r="BL12" s="371">
        <v>782</v>
      </c>
      <c r="BM12" s="371">
        <v>7</v>
      </c>
      <c r="BO12" s="370">
        <v>19107</v>
      </c>
      <c r="BP12" s="371">
        <v>59</v>
      </c>
      <c r="BQ12" s="371">
        <v>98</v>
      </c>
      <c r="BR12" s="371">
        <v>92</v>
      </c>
      <c r="BS12" s="371">
        <v>111</v>
      </c>
      <c r="BT12" s="371">
        <v>104</v>
      </c>
      <c r="BU12" s="371">
        <v>102</v>
      </c>
      <c r="BV12" s="371">
        <v>132</v>
      </c>
      <c r="BW12" s="371">
        <v>134</v>
      </c>
      <c r="BX12" s="371">
        <v>157</v>
      </c>
      <c r="BY12" s="371">
        <v>131</v>
      </c>
      <c r="BZ12" s="371">
        <v>117</v>
      </c>
      <c r="CA12" s="371">
        <v>155</v>
      </c>
      <c r="CB12" s="371">
        <v>131</v>
      </c>
      <c r="CC12" s="371">
        <v>157</v>
      </c>
      <c r="CD12" s="371">
        <v>169</v>
      </c>
      <c r="CE12" s="371">
        <v>785</v>
      </c>
      <c r="CF12" s="371">
        <v>1044</v>
      </c>
      <c r="CG12" s="371">
        <v>1447</v>
      </c>
      <c r="CH12" s="371">
        <v>1622</v>
      </c>
      <c r="CI12" s="371">
        <v>1406</v>
      </c>
      <c r="CJ12" s="371">
        <v>1182</v>
      </c>
      <c r="CK12" s="371">
        <v>1034</v>
      </c>
      <c r="CL12" s="371">
        <v>1110</v>
      </c>
      <c r="CM12" s="371">
        <v>1268</v>
      </c>
      <c r="CN12" s="371">
        <v>1351</v>
      </c>
      <c r="CO12" s="371">
        <v>1275</v>
      </c>
      <c r="CP12" s="371">
        <v>1038</v>
      </c>
      <c r="CQ12" s="371">
        <v>954</v>
      </c>
      <c r="CR12" s="371">
        <v>1739</v>
      </c>
      <c r="CS12" s="371">
        <v>3</v>
      </c>
    </row>
    <row r="13" spans="2:97" hidden="1" x14ac:dyDescent="0.2">
      <c r="B13" s="369" t="s">
        <v>218</v>
      </c>
      <c r="C13" s="370">
        <v>15641</v>
      </c>
      <c r="D13" s="371">
        <v>73</v>
      </c>
      <c r="E13" s="371">
        <v>125</v>
      </c>
      <c r="F13" s="371">
        <v>116</v>
      </c>
      <c r="G13" s="371">
        <v>119</v>
      </c>
      <c r="H13" s="371">
        <v>148</v>
      </c>
      <c r="I13" s="371">
        <v>161</v>
      </c>
      <c r="J13" s="371">
        <v>180</v>
      </c>
      <c r="K13" s="371">
        <v>181</v>
      </c>
      <c r="L13" s="371">
        <v>198</v>
      </c>
      <c r="M13" s="371">
        <v>207</v>
      </c>
      <c r="N13" s="371">
        <v>206</v>
      </c>
      <c r="O13" s="371">
        <v>208</v>
      </c>
      <c r="P13" s="371">
        <v>217</v>
      </c>
      <c r="Q13" s="371">
        <v>238</v>
      </c>
      <c r="R13" s="371">
        <v>206</v>
      </c>
      <c r="S13" s="371">
        <v>1023</v>
      </c>
      <c r="T13" s="371">
        <v>1010</v>
      </c>
      <c r="U13" s="371">
        <v>1151</v>
      </c>
      <c r="V13" s="371">
        <v>1355</v>
      </c>
      <c r="W13" s="371">
        <v>1192</v>
      </c>
      <c r="X13" s="371">
        <v>1071</v>
      </c>
      <c r="Y13" s="371">
        <v>967</v>
      </c>
      <c r="Z13" s="371">
        <v>927</v>
      </c>
      <c r="AA13" s="371">
        <v>1048</v>
      </c>
      <c r="AB13" s="371">
        <v>998</v>
      </c>
      <c r="AC13" s="371">
        <v>725</v>
      </c>
      <c r="AD13" s="371">
        <v>546</v>
      </c>
      <c r="AE13" s="371">
        <v>431</v>
      </c>
      <c r="AF13" s="371">
        <v>598</v>
      </c>
      <c r="AG13" s="371">
        <v>16</v>
      </c>
      <c r="AI13" s="370">
        <v>7449</v>
      </c>
      <c r="AJ13" s="371">
        <v>35</v>
      </c>
      <c r="AK13" s="371">
        <v>57</v>
      </c>
      <c r="AL13" s="371">
        <v>67</v>
      </c>
      <c r="AM13" s="371">
        <v>61</v>
      </c>
      <c r="AN13" s="371">
        <v>88</v>
      </c>
      <c r="AO13" s="371">
        <v>91</v>
      </c>
      <c r="AP13" s="371">
        <v>81</v>
      </c>
      <c r="AQ13" s="371">
        <v>102</v>
      </c>
      <c r="AR13" s="371">
        <v>101</v>
      </c>
      <c r="AS13" s="371">
        <v>96</v>
      </c>
      <c r="AT13" s="371">
        <v>103</v>
      </c>
      <c r="AU13" s="371">
        <v>111</v>
      </c>
      <c r="AV13" s="371">
        <v>108</v>
      </c>
      <c r="AW13" s="371">
        <v>118</v>
      </c>
      <c r="AX13" s="371">
        <v>118</v>
      </c>
      <c r="AY13" s="371">
        <v>541</v>
      </c>
      <c r="AZ13" s="371">
        <v>494</v>
      </c>
      <c r="BA13" s="371">
        <v>546</v>
      </c>
      <c r="BB13" s="371">
        <v>618</v>
      </c>
      <c r="BC13" s="371">
        <v>536</v>
      </c>
      <c r="BD13" s="371">
        <v>507</v>
      </c>
      <c r="BE13" s="371">
        <v>457</v>
      </c>
      <c r="BF13" s="371">
        <v>454</v>
      </c>
      <c r="BG13" s="371">
        <v>500</v>
      </c>
      <c r="BH13" s="371">
        <v>468</v>
      </c>
      <c r="BI13" s="371">
        <v>336</v>
      </c>
      <c r="BJ13" s="371">
        <v>256</v>
      </c>
      <c r="BK13" s="371">
        <v>186</v>
      </c>
      <c r="BL13" s="371">
        <v>201</v>
      </c>
      <c r="BM13" s="371">
        <v>12</v>
      </c>
      <c r="BO13" s="370">
        <v>8192</v>
      </c>
      <c r="BP13" s="371">
        <v>38</v>
      </c>
      <c r="BQ13" s="371">
        <v>68</v>
      </c>
      <c r="BR13" s="371">
        <v>49</v>
      </c>
      <c r="BS13" s="371">
        <v>58</v>
      </c>
      <c r="BT13" s="371">
        <v>60</v>
      </c>
      <c r="BU13" s="371">
        <v>70</v>
      </c>
      <c r="BV13" s="371">
        <v>99</v>
      </c>
      <c r="BW13" s="371">
        <v>79</v>
      </c>
      <c r="BX13" s="371">
        <v>97</v>
      </c>
      <c r="BY13" s="371">
        <v>111</v>
      </c>
      <c r="BZ13" s="371">
        <v>103</v>
      </c>
      <c r="CA13" s="371">
        <v>97</v>
      </c>
      <c r="CB13" s="371">
        <v>109</v>
      </c>
      <c r="CC13" s="371">
        <v>120</v>
      </c>
      <c r="CD13" s="371">
        <v>88</v>
      </c>
      <c r="CE13" s="371">
        <v>482</v>
      </c>
      <c r="CF13" s="371">
        <v>516</v>
      </c>
      <c r="CG13" s="371">
        <v>605</v>
      </c>
      <c r="CH13" s="371">
        <v>737</v>
      </c>
      <c r="CI13" s="371">
        <v>656</v>
      </c>
      <c r="CJ13" s="371">
        <v>564</v>
      </c>
      <c r="CK13" s="371">
        <v>510</v>
      </c>
      <c r="CL13" s="371">
        <v>473</v>
      </c>
      <c r="CM13" s="371">
        <v>548</v>
      </c>
      <c r="CN13" s="371">
        <v>530</v>
      </c>
      <c r="CO13" s="371">
        <v>389</v>
      </c>
      <c r="CP13" s="371">
        <v>290</v>
      </c>
      <c r="CQ13" s="371">
        <v>245</v>
      </c>
      <c r="CR13" s="371">
        <v>397</v>
      </c>
      <c r="CS13" s="371">
        <v>4</v>
      </c>
    </row>
    <row r="14" spans="2:97" hidden="1" x14ac:dyDescent="0.2">
      <c r="B14" s="369" t="s">
        <v>219</v>
      </c>
      <c r="C14" s="370">
        <v>19931.632000000001</v>
      </c>
      <c r="D14" s="371">
        <v>148.96</v>
      </c>
      <c r="E14" s="371">
        <v>170.91200000000003</v>
      </c>
      <c r="F14" s="371">
        <v>134.84800000000001</v>
      </c>
      <c r="G14" s="371">
        <v>148.17599999999999</v>
      </c>
      <c r="H14" s="371">
        <v>188.16</v>
      </c>
      <c r="I14" s="371">
        <v>221.87200000000001</v>
      </c>
      <c r="J14" s="371">
        <v>185.024</v>
      </c>
      <c r="K14" s="371">
        <v>230.49600000000001</v>
      </c>
      <c r="L14" s="371">
        <v>262.64</v>
      </c>
      <c r="M14" s="371">
        <v>250.096</v>
      </c>
      <c r="N14" s="371">
        <v>261.072</v>
      </c>
      <c r="O14" s="371">
        <v>286.94400000000002</v>
      </c>
      <c r="P14" s="371">
        <v>252.44800000000001</v>
      </c>
      <c r="Q14" s="371">
        <v>291.64800000000002</v>
      </c>
      <c r="R14" s="371">
        <v>239.12</v>
      </c>
      <c r="S14" s="371">
        <v>1292.816</v>
      </c>
      <c r="T14" s="371">
        <v>1483.328</v>
      </c>
      <c r="U14" s="371">
        <v>1577.4080000000001</v>
      </c>
      <c r="V14" s="371">
        <v>1695.7920000000001</v>
      </c>
      <c r="W14" s="371">
        <v>1455.8879999999999</v>
      </c>
      <c r="X14" s="371">
        <v>1333.5840000000001</v>
      </c>
      <c r="Y14" s="371">
        <v>1094.4640000000002</v>
      </c>
      <c r="Z14" s="371">
        <v>1050.56</v>
      </c>
      <c r="AA14" s="371">
        <v>1242.6400000000001</v>
      </c>
      <c r="AB14" s="371">
        <v>1288.1120000000001</v>
      </c>
      <c r="AC14" s="371">
        <v>1093.68</v>
      </c>
      <c r="AD14" s="371">
        <v>765.96800000000007</v>
      </c>
      <c r="AE14" s="371">
        <v>556.6400000000001</v>
      </c>
      <c r="AF14" s="371">
        <v>719.71199999999999</v>
      </c>
      <c r="AG14" s="371">
        <v>8.6240000000000006</v>
      </c>
      <c r="AI14" s="370">
        <v>9094.4000000000015</v>
      </c>
      <c r="AJ14" s="371">
        <v>72.128</v>
      </c>
      <c r="AK14" s="371">
        <v>95.64800000000001</v>
      </c>
      <c r="AL14" s="371">
        <v>67.424000000000007</v>
      </c>
      <c r="AM14" s="371">
        <v>78.400000000000006</v>
      </c>
      <c r="AN14" s="371">
        <v>103.488</v>
      </c>
      <c r="AO14" s="371">
        <v>100.352</v>
      </c>
      <c r="AP14" s="371">
        <v>90.16</v>
      </c>
      <c r="AQ14" s="371">
        <v>100.352</v>
      </c>
      <c r="AR14" s="371">
        <v>128.57599999999999</v>
      </c>
      <c r="AS14" s="371">
        <v>130.928</v>
      </c>
      <c r="AT14" s="371">
        <v>117.60000000000001</v>
      </c>
      <c r="AU14" s="371">
        <v>154.44800000000001</v>
      </c>
      <c r="AV14" s="371">
        <v>136.416</v>
      </c>
      <c r="AW14" s="371">
        <v>142.68800000000002</v>
      </c>
      <c r="AX14" s="371">
        <v>123.872</v>
      </c>
      <c r="AY14" s="371">
        <v>661.69600000000003</v>
      </c>
      <c r="AZ14" s="371">
        <v>740.096</v>
      </c>
      <c r="BA14" s="371">
        <v>765.18400000000008</v>
      </c>
      <c r="BB14" s="371">
        <v>744.80000000000007</v>
      </c>
      <c r="BC14" s="371">
        <v>655.42399999999998</v>
      </c>
      <c r="BD14" s="371">
        <v>613.87200000000007</v>
      </c>
      <c r="BE14" s="371">
        <v>480.59200000000004</v>
      </c>
      <c r="BF14" s="371">
        <v>476.67200000000003</v>
      </c>
      <c r="BG14" s="371">
        <v>529.20000000000005</v>
      </c>
      <c r="BH14" s="371">
        <v>559.77600000000007</v>
      </c>
      <c r="BI14" s="371">
        <v>463.34399999999999</v>
      </c>
      <c r="BJ14" s="371">
        <v>319.08800000000002</v>
      </c>
      <c r="BK14" s="371">
        <v>217.16800000000001</v>
      </c>
      <c r="BL14" s="371">
        <v>218.73600000000002</v>
      </c>
      <c r="BM14" s="371">
        <v>6.2720000000000002</v>
      </c>
      <c r="BO14" s="370">
        <v>10837.232</v>
      </c>
      <c r="BP14" s="371">
        <v>76.832000000000008</v>
      </c>
      <c r="BQ14" s="371">
        <v>75.26400000000001</v>
      </c>
      <c r="BR14" s="371">
        <v>67.424000000000007</v>
      </c>
      <c r="BS14" s="371">
        <v>69.775999999999996</v>
      </c>
      <c r="BT14" s="371">
        <v>84.671999999999997</v>
      </c>
      <c r="BU14" s="371">
        <v>121.52000000000001</v>
      </c>
      <c r="BV14" s="371">
        <v>94.864000000000004</v>
      </c>
      <c r="BW14" s="371">
        <v>130.14400000000001</v>
      </c>
      <c r="BX14" s="371">
        <v>134.06399999999999</v>
      </c>
      <c r="BY14" s="371">
        <v>119.16800000000001</v>
      </c>
      <c r="BZ14" s="371">
        <v>143.47200000000001</v>
      </c>
      <c r="CA14" s="371">
        <v>132.49600000000001</v>
      </c>
      <c r="CB14" s="371">
        <v>116.03200000000001</v>
      </c>
      <c r="CC14" s="371">
        <v>148.96</v>
      </c>
      <c r="CD14" s="371">
        <v>115.248</v>
      </c>
      <c r="CE14" s="371">
        <v>631.12</v>
      </c>
      <c r="CF14" s="371">
        <v>743.23200000000008</v>
      </c>
      <c r="CG14" s="371">
        <v>812.22400000000005</v>
      </c>
      <c r="CH14" s="371">
        <v>950.99200000000008</v>
      </c>
      <c r="CI14" s="371">
        <v>800.46400000000006</v>
      </c>
      <c r="CJ14" s="371">
        <v>719.71199999999999</v>
      </c>
      <c r="CK14" s="371">
        <v>613.87200000000007</v>
      </c>
      <c r="CL14" s="371">
        <v>573.88800000000003</v>
      </c>
      <c r="CM14" s="371">
        <v>713.44</v>
      </c>
      <c r="CN14" s="371">
        <v>728.33600000000001</v>
      </c>
      <c r="CO14" s="371">
        <v>630.33600000000001</v>
      </c>
      <c r="CP14" s="371">
        <v>446.88</v>
      </c>
      <c r="CQ14" s="371">
        <v>339.47200000000004</v>
      </c>
      <c r="CR14" s="371">
        <v>500.976</v>
      </c>
      <c r="CS14" s="371">
        <v>2.3520000000000003</v>
      </c>
    </row>
    <row r="15" spans="2:97" hidden="1" x14ac:dyDescent="0.2">
      <c r="B15" s="369" t="s">
        <v>220</v>
      </c>
      <c r="C15" s="370">
        <v>15699.529999999999</v>
      </c>
      <c r="D15" s="371">
        <v>137.06</v>
      </c>
      <c r="E15" s="371">
        <v>150.15</v>
      </c>
      <c r="F15" s="371">
        <v>137.06</v>
      </c>
      <c r="G15" s="371">
        <v>124.74000000000001</v>
      </c>
      <c r="H15" s="371">
        <v>164.01</v>
      </c>
      <c r="I15" s="371">
        <v>174.79000000000002</v>
      </c>
      <c r="J15" s="371">
        <v>193.27</v>
      </c>
      <c r="K15" s="371">
        <v>196.35000000000002</v>
      </c>
      <c r="L15" s="371">
        <v>215.60000000000002</v>
      </c>
      <c r="M15" s="371">
        <v>212.51999999999998</v>
      </c>
      <c r="N15" s="371">
        <v>235.62</v>
      </c>
      <c r="O15" s="371">
        <v>249.48000000000002</v>
      </c>
      <c r="P15" s="371">
        <v>221.76</v>
      </c>
      <c r="Q15" s="371">
        <v>231</v>
      </c>
      <c r="R15" s="371">
        <v>229.46</v>
      </c>
      <c r="S15" s="371">
        <v>1055.67</v>
      </c>
      <c r="T15" s="371">
        <v>1220.45</v>
      </c>
      <c r="U15" s="371">
        <v>1295.9099999999999</v>
      </c>
      <c r="V15" s="371">
        <v>1291.29</v>
      </c>
      <c r="W15" s="371">
        <v>1139.5999999999999</v>
      </c>
      <c r="X15" s="371">
        <v>1031.03</v>
      </c>
      <c r="Y15" s="371">
        <v>997.92000000000007</v>
      </c>
      <c r="Z15" s="371">
        <v>960.19</v>
      </c>
      <c r="AA15" s="371">
        <v>1080.31</v>
      </c>
      <c r="AB15" s="371">
        <v>903.98</v>
      </c>
      <c r="AC15" s="371">
        <v>632.94000000000005</v>
      </c>
      <c r="AD15" s="371">
        <v>475.09</v>
      </c>
      <c r="AE15" s="371">
        <v>352.66</v>
      </c>
      <c r="AF15" s="371">
        <v>378.07</v>
      </c>
      <c r="AG15" s="371">
        <v>11.55</v>
      </c>
      <c r="AI15" s="370">
        <v>7528.29</v>
      </c>
      <c r="AJ15" s="371">
        <v>81.62</v>
      </c>
      <c r="AK15" s="371">
        <v>74.69</v>
      </c>
      <c r="AL15" s="371">
        <v>72.38</v>
      </c>
      <c r="AM15" s="371">
        <v>56.980000000000004</v>
      </c>
      <c r="AN15" s="371">
        <v>84.7</v>
      </c>
      <c r="AO15" s="371">
        <v>95.48</v>
      </c>
      <c r="AP15" s="371">
        <v>103.18</v>
      </c>
      <c r="AQ15" s="371">
        <v>90.09</v>
      </c>
      <c r="AR15" s="371">
        <v>109.34</v>
      </c>
      <c r="AS15" s="371">
        <v>93.94</v>
      </c>
      <c r="AT15" s="371">
        <v>111.65</v>
      </c>
      <c r="AU15" s="371">
        <v>126.28</v>
      </c>
      <c r="AV15" s="371">
        <v>127.82000000000001</v>
      </c>
      <c r="AW15" s="371">
        <v>107.8</v>
      </c>
      <c r="AX15" s="371">
        <v>108.57000000000001</v>
      </c>
      <c r="AY15" s="371">
        <v>527.45000000000005</v>
      </c>
      <c r="AZ15" s="371">
        <v>616</v>
      </c>
      <c r="BA15" s="371">
        <v>641.41</v>
      </c>
      <c r="BB15" s="371">
        <v>622.16</v>
      </c>
      <c r="BC15" s="371">
        <v>517.44000000000005</v>
      </c>
      <c r="BD15" s="371">
        <v>492.03000000000003</v>
      </c>
      <c r="BE15" s="371">
        <v>473.55</v>
      </c>
      <c r="BF15" s="371">
        <v>444.29</v>
      </c>
      <c r="BG15" s="371">
        <v>532.07000000000005</v>
      </c>
      <c r="BH15" s="371">
        <v>439.67</v>
      </c>
      <c r="BI15" s="371">
        <v>292.60000000000002</v>
      </c>
      <c r="BJ15" s="371">
        <v>202.51</v>
      </c>
      <c r="BK15" s="371">
        <v>140.14000000000001</v>
      </c>
      <c r="BL15" s="371">
        <v>136.29</v>
      </c>
      <c r="BM15" s="371">
        <v>6.16</v>
      </c>
      <c r="BO15" s="370">
        <v>8171.2400000000007</v>
      </c>
      <c r="BP15" s="371">
        <v>55.44</v>
      </c>
      <c r="BQ15" s="371">
        <v>75.460000000000008</v>
      </c>
      <c r="BR15" s="371">
        <v>64.680000000000007</v>
      </c>
      <c r="BS15" s="371">
        <v>67.760000000000005</v>
      </c>
      <c r="BT15" s="371">
        <v>79.31</v>
      </c>
      <c r="BU15" s="371">
        <v>79.31</v>
      </c>
      <c r="BV15" s="371">
        <v>90.09</v>
      </c>
      <c r="BW15" s="371">
        <v>106.26</v>
      </c>
      <c r="BX15" s="371">
        <v>106.26</v>
      </c>
      <c r="BY15" s="371">
        <v>118.58</v>
      </c>
      <c r="BZ15" s="371">
        <v>123.97</v>
      </c>
      <c r="CA15" s="371">
        <v>123.2</v>
      </c>
      <c r="CB15" s="371">
        <v>93.94</v>
      </c>
      <c r="CC15" s="371">
        <v>123.2</v>
      </c>
      <c r="CD15" s="371">
        <v>120.89</v>
      </c>
      <c r="CE15" s="371">
        <v>528.22</v>
      </c>
      <c r="CF15" s="371">
        <v>604.45000000000005</v>
      </c>
      <c r="CG15" s="371">
        <v>654.5</v>
      </c>
      <c r="CH15" s="371">
        <v>669.13</v>
      </c>
      <c r="CI15" s="371">
        <v>622.16</v>
      </c>
      <c r="CJ15" s="371">
        <v>539</v>
      </c>
      <c r="CK15" s="371">
        <v>524.37</v>
      </c>
      <c r="CL15" s="371">
        <v>515.9</v>
      </c>
      <c r="CM15" s="371">
        <v>548.24</v>
      </c>
      <c r="CN15" s="371">
        <v>464.31</v>
      </c>
      <c r="CO15" s="371">
        <v>340.34000000000003</v>
      </c>
      <c r="CP15" s="371">
        <v>272.58</v>
      </c>
      <c r="CQ15" s="371">
        <v>212.52</v>
      </c>
      <c r="CR15" s="371">
        <v>241.78</v>
      </c>
      <c r="CS15" s="371">
        <v>5.3900000000000006</v>
      </c>
    </row>
    <row r="16" spans="2:97" hidden="1" x14ac:dyDescent="0.2">
      <c r="B16" s="369" t="s">
        <v>221</v>
      </c>
      <c r="C16" s="370">
        <v>30994</v>
      </c>
      <c r="D16" s="371">
        <v>295</v>
      </c>
      <c r="E16" s="371">
        <v>333</v>
      </c>
      <c r="F16" s="371">
        <v>318</v>
      </c>
      <c r="G16" s="371">
        <v>309</v>
      </c>
      <c r="H16" s="371">
        <v>387</v>
      </c>
      <c r="I16" s="371">
        <v>378</v>
      </c>
      <c r="J16" s="371">
        <v>401</v>
      </c>
      <c r="K16" s="371">
        <v>433</v>
      </c>
      <c r="L16" s="371">
        <v>500</v>
      </c>
      <c r="M16" s="371">
        <v>524</v>
      </c>
      <c r="N16" s="371">
        <v>492</v>
      </c>
      <c r="O16" s="371">
        <v>546</v>
      </c>
      <c r="P16" s="371">
        <v>520</v>
      </c>
      <c r="Q16" s="371">
        <v>497</v>
      </c>
      <c r="R16" s="371">
        <v>535</v>
      </c>
      <c r="S16" s="371">
        <v>2258</v>
      </c>
      <c r="T16" s="371">
        <v>2340</v>
      </c>
      <c r="U16" s="371">
        <v>2572</v>
      </c>
      <c r="V16" s="371">
        <v>2748</v>
      </c>
      <c r="W16" s="371">
        <v>2398</v>
      </c>
      <c r="X16" s="371">
        <v>2078</v>
      </c>
      <c r="Y16" s="371">
        <v>1754</v>
      </c>
      <c r="Z16" s="371">
        <v>1698</v>
      </c>
      <c r="AA16" s="371">
        <v>1766</v>
      </c>
      <c r="AB16" s="371">
        <v>1610</v>
      </c>
      <c r="AC16" s="371">
        <v>1167</v>
      </c>
      <c r="AD16" s="371">
        <v>845</v>
      </c>
      <c r="AE16" s="371">
        <v>590</v>
      </c>
      <c r="AF16" s="371">
        <v>694</v>
      </c>
      <c r="AG16" s="371">
        <v>8</v>
      </c>
      <c r="AI16" s="370">
        <v>14416</v>
      </c>
      <c r="AJ16" s="371">
        <v>159</v>
      </c>
      <c r="AK16" s="371">
        <v>171</v>
      </c>
      <c r="AL16" s="371">
        <v>165</v>
      </c>
      <c r="AM16" s="371">
        <v>162</v>
      </c>
      <c r="AN16" s="371">
        <v>214</v>
      </c>
      <c r="AO16" s="371">
        <v>181</v>
      </c>
      <c r="AP16" s="371">
        <v>217</v>
      </c>
      <c r="AQ16" s="371">
        <v>226</v>
      </c>
      <c r="AR16" s="371">
        <v>246</v>
      </c>
      <c r="AS16" s="371">
        <v>258</v>
      </c>
      <c r="AT16" s="371">
        <v>245</v>
      </c>
      <c r="AU16" s="371">
        <v>274</v>
      </c>
      <c r="AV16" s="371">
        <v>263</v>
      </c>
      <c r="AW16" s="371">
        <v>240</v>
      </c>
      <c r="AX16" s="371">
        <v>263</v>
      </c>
      <c r="AY16" s="371">
        <v>1123</v>
      </c>
      <c r="AZ16" s="371">
        <v>1114</v>
      </c>
      <c r="BA16" s="371">
        <v>1154</v>
      </c>
      <c r="BB16" s="371">
        <v>1229</v>
      </c>
      <c r="BC16" s="371">
        <v>1067</v>
      </c>
      <c r="BD16" s="371">
        <v>909</v>
      </c>
      <c r="BE16" s="371">
        <v>804</v>
      </c>
      <c r="BF16" s="371">
        <v>738</v>
      </c>
      <c r="BG16" s="371">
        <v>814</v>
      </c>
      <c r="BH16" s="371">
        <v>730</v>
      </c>
      <c r="BI16" s="371">
        <v>544</v>
      </c>
      <c r="BJ16" s="371">
        <v>385</v>
      </c>
      <c r="BK16" s="371">
        <v>270</v>
      </c>
      <c r="BL16" s="371">
        <v>248</v>
      </c>
      <c r="BM16" s="371">
        <v>3</v>
      </c>
      <c r="BO16" s="370">
        <v>16578</v>
      </c>
      <c r="BP16" s="371">
        <v>136</v>
      </c>
      <c r="BQ16" s="371">
        <v>162</v>
      </c>
      <c r="BR16" s="371">
        <v>153</v>
      </c>
      <c r="BS16" s="371">
        <v>147</v>
      </c>
      <c r="BT16" s="371">
        <v>173</v>
      </c>
      <c r="BU16" s="371">
        <v>197</v>
      </c>
      <c r="BV16" s="371">
        <v>184</v>
      </c>
      <c r="BW16" s="371">
        <v>207</v>
      </c>
      <c r="BX16" s="371">
        <v>254</v>
      </c>
      <c r="BY16" s="371">
        <v>266</v>
      </c>
      <c r="BZ16" s="371">
        <v>247</v>
      </c>
      <c r="CA16" s="371">
        <v>272</v>
      </c>
      <c r="CB16" s="371">
        <v>257</v>
      </c>
      <c r="CC16" s="371">
        <v>257</v>
      </c>
      <c r="CD16" s="371">
        <v>272</v>
      </c>
      <c r="CE16" s="371">
        <v>1135</v>
      </c>
      <c r="CF16" s="371">
        <v>1226</v>
      </c>
      <c r="CG16" s="371">
        <v>1418</v>
      </c>
      <c r="CH16" s="371">
        <v>1519</v>
      </c>
      <c r="CI16" s="371">
        <v>1331</v>
      </c>
      <c r="CJ16" s="371">
        <v>1169</v>
      </c>
      <c r="CK16" s="371">
        <v>950</v>
      </c>
      <c r="CL16" s="371">
        <v>960</v>
      </c>
      <c r="CM16" s="371">
        <v>952</v>
      </c>
      <c r="CN16" s="371">
        <v>880</v>
      </c>
      <c r="CO16" s="371">
        <v>623</v>
      </c>
      <c r="CP16" s="371">
        <v>460</v>
      </c>
      <c r="CQ16" s="371">
        <v>320</v>
      </c>
      <c r="CR16" s="371">
        <v>446</v>
      </c>
      <c r="CS16" s="371">
        <v>5</v>
      </c>
    </row>
    <row r="17" spans="2:97" hidden="1" x14ac:dyDescent="0.2">
      <c r="B17" s="369" t="s">
        <v>222</v>
      </c>
      <c r="C17" s="370">
        <v>8409.4080000000013</v>
      </c>
      <c r="D17" s="371">
        <v>60.927999999999997</v>
      </c>
      <c r="E17" s="371">
        <v>59.36</v>
      </c>
      <c r="F17" s="371">
        <v>60.031999999999996</v>
      </c>
      <c r="G17" s="371">
        <v>68.096000000000004</v>
      </c>
      <c r="H17" s="371">
        <v>75.712000000000003</v>
      </c>
      <c r="I17" s="371">
        <v>80.864000000000004</v>
      </c>
      <c r="J17" s="371">
        <v>85.792000000000002</v>
      </c>
      <c r="K17" s="371">
        <v>99.903999999999996</v>
      </c>
      <c r="L17" s="371">
        <v>105.952</v>
      </c>
      <c r="M17" s="371">
        <v>108.64</v>
      </c>
      <c r="N17" s="371">
        <v>103.488</v>
      </c>
      <c r="O17" s="371">
        <v>113.792</v>
      </c>
      <c r="P17" s="371">
        <v>111.55199999999999</v>
      </c>
      <c r="Q17" s="371">
        <v>93.632000000000005</v>
      </c>
      <c r="R17" s="371">
        <v>110.88</v>
      </c>
      <c r="S17" s="371">
        <v>537.6</v>
      </c>
      <c r="T17" s="371">
        <v>613.76</v>
      </c>
      <c r="U17" s="371">
        <v>644.67200000000003</v>
      </c>
      <c r="V17" s="371">
        <v>669.08799999999997</v>
      </c>
      <c r="W17" s="371">
        <v>606.14400000000001</v>
      </c>
      <c r="X17" s="371">
        <v>558.88</v>
      </c>
      <c r="Y17" s="371">
        <v>511.84000000000003</v>
      </c>
      <c r="Z17" s="371">
        <v>504.67200000000003</v>
      </c>
      <c r="AA17" s="371">
        <v>536.03200000000004</v>
      </c>
      <c r="AB17" s="371">
        <v>506.91200000000003</v>
      </c>
      <c r="AC17" s="371">
        <v>416.416</v>
      </c>
      <c r="AD17" s="371">
        <v>322.11199999999997</v>
      </c>
      <c r="AE17" s="371">
        <v>281.12</v>
      </c>
      <c r="AF17" s="371">
        <v>358.17599999999999</v>
      </c>
      <c r="AG17" s="371">
        <v>3.3600000000000003</v>
      </c>
      <c r="AI17" s="370">
        <v>3886.1760000000004</v>
      </c>
      <c r="AJ17" s="371">
        <v>27.327999999999999</v>
      </c>
      <c r="AK17" s="371">
        <v>30.464000000000002</v>
      </c>
      <c r="AL17" s="371">
        <v>31.584</v>
      </c>
      <c r="AM17" s="371">
        <v>39.200000000000003</v>
      </c>
      <c r="AN17" s="371">
        <v>37.856000000000002</v>
      </c>
      <c r="AO17" s="371">
        <v>41.664000000000001</v>
      </c>
      <c r="AP17" s="371">
        <v>45.247999999999998</v>
      </c>
      <c r="AQ17" s="371">
        <v>49.503999999999998</v>
      </c>
      <c r="AR17" s="371">
        <v>52.64</v>
      </c>
      <c r="AS17" s="371">
        <v>56.896000000000001</v>
      </c>
      <c r="AT17" s="371">
        <v>50.624000000000002</v>
      </c>
      <c r="AU17" s="371">
        <v>61.823999999999998</v>
      </c>
      <c r="AV17" s="371">
        <v>56.448</v>
      </c>
      <c r="AW17" s="371">
        <v>48.608000000000004</v>
      </c>
      <c r="AX17" s="371">
        <v>54.655999999999999</v>
      </c>
      <c r="AY17" s="371">
        <v>268.57600000000002</v>
      </c>
      <c r="AZ17" s="371">
        <v>303.29599999999999</v>
      </c>
      <c r="BA17" s="371">
        <v>315.392</v>
      </c>
      <c r="BB17" s="371">
        <v>300.38400000000001</v>
      </c>
      <c r="BC17" s="371">
        <v>273.28000000000003</v>
      </c>
      <c r="BD17" s="371">
        <v>248.416</v>
      </c>
      <c r="BE17" s="371">
        <v>229.82400000000001</v>
      </c>
      <c r="BF17" s="371">
        <v>226.01599999999999</v>
      </c>
      <c r="BG17" s="371">
        <v>248.64000000000001</v>
      </c>
      <c r="BH17" s="371">
        <v>226.01599999999999</v>
      </c>
      <c r="BI17" s="371">
        <v>178.976</v>
      </c>
      <c r="BJ17" s="371">
        <v>133.952</v>
      </c>
      <c r="BK17" s="371">
        <v>118.72</v>
      </c>
      <c r="BL17" s="371">
        <v>127.904</v>
      </c>
      <c r="BM17" s="371">
        <v>2.2400000000000002</v>
      </c>
      <c r="BO17" s="370">
        <v>4523.232</v>
      </c>
      <c r="BP17" s="371">
        <v>33.6</v>
      </c>
      <c r="BQ17" s="371">
        <v>28.896000000000001</v>
      </c>
      <c r="BR17" s="371">
        <v>28.448</v>
      </c>
      <c r="BS17" s="371">
        <v>28.896000000000001</v>
      </c>
      <c r="BT17" s="371">
        <v>37.856000000000002</v>
      </c>
      <c r="BU17" s="371">
        <v>39.200000000000003</v>
      </c>
      <c r="BV17" s="371">
        <v>40.544000000000004</v>
      </c>
      <c r="BW17" s="371">
        <v>50.4</v>
      </c>
      <c r="BX17" s="371">
        <v>53.311999999999998</v>
      </c>
      <c r="BY17" s="371">
        <v>51.744</v>
      </c>
      <c r="BZ17" s="371">
        <v>52.864000000000004</v>
      </c>
      <c r="CA17" s="371">
        <v>51.968000000000004</v>
      </c>
      <c r="CB17" s="371">
        <v>55.103999999999999</v>
      </c>
      <c r="CC17" s="371">
        <v>45.024000000000001</v>
      </c>
      <c r="CD17" s="371">
        <v>56.224000000000004</v>
      </c>
      <c r="CE17" s="371">
        <v>269.024</v>
      </c>
      <c r="CF17" s="371">
        <v>310.464</v>
      </c>
      <c r="CG17" s="371">
        <v>329.28000000000003</v>
      </c>
      <c r="CH17" s="371">
        <v>368.70400000000001</v>
      </c>
      <c r="CI17" s="371">
        <v>332.86400000000003</v>
      </c>
      <c r="CJ17" s="371">
        <v>310.464</v>
      </c>
      <c r="CK17" s="371">
        <v>282.01600000000002</v>
      </c>
      <c r="CL17" s="371">
        <v>278.65600000000001</v>
      </c>
      <c r="CM17" s="371">
        <v>287.392</v>
      </c>
      <c r="CN17" s="371">
        <v>280.89600000000002</v>
      </c>
      <c r="CO17" s="371">
        <v>237.44</v>
      </c>
      <c r="CP17" s="371">
        <v>188.16</v>
      </c>
      <c r="CQ17" s="371">
        <v>162.4</v>
      </c>
      <c r="CR17" s="371">
        <v>230.27199999999999</v>
      </c>
      <c r="CS17" s="371">
        <v>1.1200000000000001</v>
      </c>
    </row>
    <row r="18" spans="2:97" hidden="1" x14ac:dyDescent="0.2">
      <c r="B18" s="369" t="s">
        <v>223</v>
      </c>
      <c r="C18" s="370">
        <v>5491.3680000000004</v>
      </c>
      <c r="D18" s="371">
        <v>41.04</v>
      </c>
      <c r="E18" s="371">
        <v>47.088000000000001</v>
      </c>
      <c r="F18" s="371">
        <v>37.152000000000001</v>
      </c>
      <c r="G18" s="371">
        <v>40.823999999999998</v>
      </c>
      <c r="H18" s="371">
        <v>51.84</v>
      </c>
      <c r="I18" s="371">
        <v>61.128</v>
      </c>
      <c r="J18" s="371">
        <v>50.975999999999999</v>
      </c>
      <c r="K18" s="371">
        <v>63.504000000000005</v>
      </c>
      <c r="L18" s="371">
        <v>72.36</v>
      </c>
      <c r="M18" s="371">
        <v>68.903999999999996</v>
      </c>
      <c r="N18" s="371">
        <v>71.927999999999997</v>
      </c>
      <c r="O18" s="371">
        <v>79.055999999999997</v>
      </c>
      <c r="P18" s="371">
        <v>69.551999999999992</v>
      </c>
      <c r="Q18" s="371">
        <v>80.352000000000004</v>
      </c>
      <c r="R18" s="371">
        <v>65.88</v>
      </c>
      <c r="S18" s="371">
        <v>356.18399999999997</v>
      </c>
      <c r="T18" s="371">
        <v>408.67200000000003</v>
      </c>
      <c r="U18" s="371">
        <v>434.59199999999998</v>
      </c>
      <c r="V18" s="371">
        <v>467.20799999999997</v>
      </c>
      <c r="W18" s="371">
        <v>401.11199999999997</v>
      </c>
      <c r="X18" s="371">
        <v>367.416</v>
      </c>
      <c r="Y18" s="371">
        <v>301.53599999999994</v>
      </c>
      <c r="Z18" s="371">
        <v>289.44</v>
      </c>
      <c r="AA18" s="371">
        <v>342.36</v>
      </c>
      <c r="AB18" s="371">
        <v>354.88799999999998</v>
      </c>
      <c r="AC18" s="371">
        <v>301.32</v>
      </c>
      <c r="AD18" s="371">
        <v>211.03199999999998</v>
      </c>
      <c r="AE18" s="371">
        <v>153.36000000000001</v>
      </c>
      <c r="AF18" s="371">
        <v>198.28800000000001</v>
      </c>
      <c r="AG18" s="371">
        <v>2.3759999999999999</v>
      </c>
      <c r="AI18" s="370">
        <v>2505.5999999999995</v>
      </c>
      <c r="AJ18" s="371">
        <v>19.872</v>
      </c>
      <c r="AK18" s="371">
        <v>26.352</v>
      </c>
      <c r="AL18" s="371">
        <v>18.576000000000001</v>
      </c>
      <c r="AM18" s="371">
        <v>21.6</v>
      </c>
      <c r="AN18" s="371">
        <v>28.512</v>
      </c>
      <c r="AO18" s="371">
        <v>27.648</v>
      </c>
      <c r="AP18" s="371">
        <v>24.84</v>
      </c>
      <c r="AQ18" s="371">
        <v>27.648</v>
      </c>
      <c r="AR18" s="371">
        <v>35.423999999999999</v>
      </c>
      <c r="AS18" s="371">
        <v>36.072000000000003</v>
      </c>
      <c r="AT18" s="371">
        <v>32.4</v>
      </c>
      <c r="AU18" s="371">
        <v>42.552</v>
      </c>
      <c r="AV18" s="371">
        <v>37.583999999999996</v>
      </c>
      <c r="AW18" s="371">
        <v>39.311999999999998</v>
      </c>
      <c r="AX18" s="371">
        <v>34.128</v>
      </c>
      <c r="AY18" s="371">
        <v>182.304</v>
      </c>
      <c r="AZ18" s="371">
        <v>203.904</v>
      </c>
      <c r="BA18" s="371">
        <v>210.816</v>
      </c>
      <c r="BB18" s="371">
        <v>205.2</v>
      </c>
      <c r="BC18" s="371">
        <v>180.57599999999999</v>
      </c>
      <c r="BD18" s="371">
        <v>169.12799999999999</v>
      </c>
      <c r="BE18" s="371">
        <v>132.40799999999999</v>
      </c>
      <c r="BF18" s="371">
        <v>131.328</v>
      </c>
      <c r="BG18" s="371">
        <v>145.80000000000001</v>
      </c>
      <c r="BH18" s="371">
        <v>154.22399999999999</v>
      </c>
      <c r="BI18" s="371">
        <v>127.65599999999999</v>
      </c>
      <c r="BJ18" s="371">
        <v>87.911999999999992</v>
      </c>
      <c r="BK18" s="371">
        <v>59.832000000000001</v>
      </c>
      <c r="BL18" s="371">
        <v>60.263999999999996</v>
      </c>
      <c r="BM18" s="371">
        <v>1.728</v>
      </c>
      <c r="BO18" s="370">
        <v>2985.7679999999991</v>
      </c>
      <c r="BP18" s="371">
        <v>21.167999999999999</v>
      </c>
      <c r="BQ18" s="371">
        <v>20.736000000000001</v>
      </c>
      <c r="BR18" s="371">
        <v>18.576000000000001</v>
      </c>
      <c r="BS18" s="371">
        <v>19.224</v>
      </c>
      <c r="BT18" s="371">
        <v>23.327999999999999</v>
      </c>
      <c r="BU18" s="371">
        <v>33.479999999999997</v>
      </c>
      <c r="BV18" s="371">
        <v>26.135999999999999</v>
      </c>
      <c r="BW18" s="371">
        <v>35.856000000000002</v>
      </c>
      <c r="BX18" s="371">
        <v>36.936</v>
      </c>
      <c r="BY18" s="371">
        <v>32.832000000000001</v>
      </c>
      <c r="BZ18" s="371">
        <v>39.527999999999999</v>
      </c>
      <c r="CA18" s="371">
        <v>36.503999999999998</v>
      </c>
      <c r="CB18" s="371">
        <v>31.968</v>
      </c>
      <c r="CC18" s="371">
        <v>41.04</v>
      </c>
      <c r="CD18" s="371">
        <v>31.751999999999999</v>
      </c>
      <c r="CE18" s="371">
        <v>173.88</v>
      </c>
      <c r="CF18" s="371">
        <v>204.768</v>
      </c>
      <c r="CG18" s="371">
        <v>223.77600000000001</v>
      </c>
      <c r="CH18" s="371">
        <v>262.00799999999998</v>
      </c>
      <c r="CI18" s="371">
        <v>220.536</v>
      </c>
      <c r="CJ18" s="371">
        <v>198.28800000000001</v>
      </c>
      <c r="CK18" s="371">
        <v>169.12799999999999</v>
      </c>
      <c r="CL18" s="371">
        <v>158.11199999999999</v>
      </c>
      <c r="CM18" s="371">
        <v>196.56</v>
      </c>
      <c r="CN18" s="371">
        <v>200.66399999999999</v>
      </c>
      <c r="CO18" s="371">
        <v>173.66399999999999</v>
      </c>
      <c r="CP18" s="371">
        <v>123.12</v>
      </c>
      <c r="CQ18" s="371">
        <v>93.528000000000006</v>
      </c>
      <c r="CR18" s="371">
        <v>138.024</v>
      </c>
      <c r="CS18" s="371">
        <v>0.64800000000000002</v>
      </c>
    </row>
    <row r="19" spans="2:97" hidden="1" x14ac:dyDescent="0.2">
      <c r="B19" s="369" t="s">
        <v>224</v>
      </c>
      <c r="C19" s="370">
        <v>4689.4700000000012</v>
      </c>
      <c r="D19" s="371">
        <v>40.940000000000005</v>
      </c>
      <c r="E19" s="371">
        <v>44.850000000000009</v>
      </c>
      <c r="F19" s="371">
        <v>40.94</v>
      </c>
      <c r="G19" s="371">
        <v>37.260000000000005</v>
      </c>
      <c r="H19" s="371">
        <v>48.99</v>
      </c>
      <c r="I19" s="371">
        <v>52.21</v>
      </c>
      <c r="J19" s="371">
        <v>57.730000000000004</v>
      </c>
      <c r="K19" s="371">
        <v>58.650000000000006</v>
      </c>
      <c r="L19" s="371">
        <v>64.400000000000006</v>
      </c>
      <c r="M19" s="371">
        <v>63.480000000000004</v>
      </c>
      <c r="N19" s="371">
        <v>70.38</v>
      </c>
      <c r="O19" s="371">
        <v>74.52000000000001</v>
      </c>
      <c r="P19" s="371">
        <v>66.240000000000009</v>
      </c>
      <c r="Q19" s="371">
        <v>69</v>
      </c>
      <c r="R19" s="371">
        <v>68.539999999999992</v>
      </c>
      <c r="S19" s="371">
        <v>315.33000000000004</v>
      </c>
      <c r="T19" s="371">
        <v>364.55</v>
      </c>
      <c r="U19" s="371">
        <v>387.09000000000003</v>
      </c>
      <c r="V19" s="371">
        <v>385.71000000000004</v>
      </c>
      <c r="W19" s="371">
        <v>340.4</v>
      </c>
      <c r="X19" s="371">
        <v>307.97000000000003</v>
      </c>
      <c r="Y19" s="371">
        <v>298.08000000000004</v>
      </c>
      <c r="Z19" s="371">
        <v>286.81</v>
      </c>
      <c r="AA19" s="371">
        <v>322.69000000000005</v>
      </c>
      <c r="AB19" s="371">
        <v>270.02</v>
      </c>
      <c r="AC19" s="371">
        <v>189.06</v>
      </c>
      <c r="AD19" s="371">
        <v>141.91</v>
      </c>
      <c r="AE19" s="371">
        <v>105.34</v>
      </c>
      <c r="AF19" s="371">
        <v>112.93</v>
      </c>
      <c r="AG19" s="371">
        <v>3.45</v>
      </c>
      <c r="AI19" s="370">
        <v>2248.71</v>
      </c>
      <c r="AJ19" s="371">
        <v>24.380000000000003</v>
      </c>
      <c r="AK19" s="371">
        <v>22.310000000000002</v>
      </c>
      <c r="AL19" s="371">
        <v>21.62</v>
      </c>
      <c r="AM19" s="371">
        <v>17.02</v>
      </c>
      <c r="AN19" s="371">
        <v>25.3</v>
      </c>
      <c r="AO19" s="371">
        <v>28.52</v>
      </c>
      <c r="AP19" s="371">
        <v>30.82</v>
      </c>
      <c r="AQ19" s="371">
        <v>26.91</v>
      </c>
      <c r="AR19" s="371">
        <v>32.660000000000004</v>
      </c>
      <c r="AS19" s="371">
        <v>28.060000000000002</v>
      </c>
      <c r="AT19" s="371">
        <v>33.35</v>
      </c>
      <c r="AU19" s="371">
        <v>37.72</v>
      </c>
      <c r="AV19" s="371">
        <v>38.18</v>
      </c>
      <c r="AW19" s="371">
        <v>32.200000000000003</v>
      </c>
      <c r="AX19" s="371">
        <v>32.43</v>
      </c>
      <c r="AY19" s="371">
        <v>157.55000000000001</v>
      </c>
      <c r="AZ19" s="371">
        <v>184</v>
      </c>
      <c r="BA19" s="371">
        <v>191.59</v>
      </c>
      <c r="BB19" s="371">
        <v>185.84</v>
      </c>
      <c r="BC19" s="371">
        <v>154.56</v>
      </c>
      <c r="BD19" s="371">
        <v>146.97</v>
      </c>
      <c r="BE19" s="371">
        <v>141.45000000000002</v>
      </c>
      <c r="BF19" s="371">
        <v>132.71</v>
      </c>
      <c r="BG19" s="371">
        <v>158.93</v>
      </c>
      <c r="BH19" s="371">
        <v>131.33000000000001</v>
      </c>
      <c r="BI19" s="371">
        <v>87.4</v>
      </c>
      <c r="BJ19" s="371">
        <v>60.49</v>
      </c>
      <c r="BK19" s="371">
        <v>41.86</v>
      </c>
      <c r="BL19" s="371">
        <v>40.71</v>
      </c>
      <c r="BM19" s="371">
        <v>1.84</v>
      </c>
      <c r="BO19" s="370">
        <v>2440.7599999999993</v>
      </c>
      <c r="BP19" s="371">
        <v>16.560000000000002</v>
      </c>
      <c r="BQ19" s="371">
        <v>22.540000000000003</v>
      </c>
      <c r="BR19" s="371">
        <v>19.32</v>
      </c>
      <c r="BS19" s="371">
        <v>20.240000000000002</v>
      </c>
      <c r="BT19" s="371">
        <v>23.69</v>
      </c>
      <c r="BU19" s="371">
        <v>23.69</v>
      </c>
      <c r="BV19" s="371">
        <v>26.91</v>
      </c>
      <c r="BW19" s="371">
        <v>31.740000000000002</v>
      </c>
      <c r="BX19" s="371">
        <v>31.740000000000002</v>
      </c>
      <c r="BY19" s="371">
        <v>35.42</v>
      </c>
      <c r="BZ19" s="371">
        <v>37.03</v>
      </c>
      <c r="CA19" s="371">
        <v>36.800000000000004</v>
      </c>
      <c r="CB19" s="371">
        <v>28.060000000000002</v>
      </c>
      <c r="CC19" s="371">
        <v>36.800000000000004</v>
      </c>
      <c r="CD19" s="371">
        <v>36.11</v>
      </c>
      <c r="CE19" s="371">
        <v>157.78</v>
      </c>
      <c r="CF19" s="371">
        <v>180.55</v>
      </c>
      <c r="CG19" s="371">
        <v>195.5</v>
      </c>
      <c r="CH19" s="371">
        <v>199.87</v>
      </c>
      <c r="CI19" s="371">
        <v>185.84</v>
      </c>
      <c r="CJ19" s="371">
        <v>161</v>
      </c>
      <c r="CK19" s="371">
        <v>156.63</v>
      </c>
      <c r="CL19" s="371">
        <v>154.1</v>
      </c>
      <c r="CM19" s="371">
        <v>163.76000000000002</v>
      </c>
      <c r="CN19" s="371">
        <v>138.69</v>
      </c>
      <c r="CO19" s="371">
        <v>101.66000000000001</v>
      </c>
      <c r="CP19" s="371">
        <v>81.42</v>
      </c>
      <c r="CQ19" s="371">
        <v>63.480000000000004</v>
      </c>
      <c r="CR19" s="371">
        <v>72.22</v>
      </c>
      <c r="CS19" s="371">
        <v>1.61</v>
      </c>
    </row>
    <row r="20" spans="2:97" hidden="1" x14ac:dyDescent="0.2">
      <c r="B20" s="372" t="s">
        <v>225</v>
      </c>
      <c r="C20" s="373">
        <v>267426</v>
      </c>
      <c r="D20" s="373">
        <v>1873</v>
      </c>
      <c r="E20" s="373">
        <v>2054</v>
      </c>
      <c r="F20" s="373">
        <v>1899</v>
      </c>
      <c r="G20" s="373">
        <v>2095</v>
      </c>
      <c r="H20" s="373">
        <v>2401</v>
      </c>
      <c r="I20" s="373">
        <v>2566</v>
      </c>
      <c r="J20" s="373">
        <v>2744</v>
      </c>
      <c r="K20" s="373">
        <v>2958</v>
      </c>
      <c r="L20" s="373">
        <v>3367</v>
      </c>
      <c r="M20" s="373">
        <v>3262</v>
      </c>
      <c r="N20" s="373">
        <v>3262.9999999999995</v>
      </c>
      <c r="O20" s="373">
        <v>3535</v>
      </c>
      <c r="P20" s="373">
        <v>3428</v>
      </c>
      <c r="Q20" s="373">
        <v>3377</v>
      </c>
      <c r="R20" s="373">
        <v>3510</v>
      </c>
      <c r="S20" s="373">
        <v>16448</v>
      </c>
      <c r="T20" s="373">
        <v>18578.999999999996</v>
      </c>
      <c r="U20" s="373">
        <v>20965</v>
      </c>
      <c r="V20" s="373">
        <v>22316</v>
      </c>
      <c r="W20" s="373">
        <v>19820</v>
      </c>
      <c r="X20" s="373">
        <v>17692.000000000004</v>
      </c>
      <c r="Y20" s="373">
        <v>15541</v>
      </c>
      <c r="Z20" s="373">
        <v>15267</v>
      </c>
      <c r="AA20" s="373">
        <v>17001.999999999996</v>
      </c>
      <c r="AB20" s="373">
        <v>16751</v>
      </c>
      <c r="AC20" s="373">
        <v>13680.999999999998</v>
      </c>
      <c r="AD20" s="373">
        <v>10387.999999999998</v>
      </c>
      <c r="AE20" s="373">
        <v>8466.0000000000018</v>
      </c>
      <c r="AF20" s="373">
        <v>12051</v>
      </c>
      <c r="AG20" s="373">
        <v>127</v>
      </c>
      <c r="AI20" s="373">
        <v>122184</v>
      </c>
      <c r="AJ20" s="373">
        <v>943</v>
      </c>
      <c r="AK20" s="373">
        <v>1068</v>
      </c>
      <c r="AL20" s="373">
        <v>969.99999999999989</v>
      </c>
      <c r="AM20" s="373">
        <v>1108.9999999999998</v>
      </c>
      <c r="AN20" s="373">
        <v>1296</v>
      </c>
      <c r="AO20" s="373">
        <v>1291</v>
      </c>
      <c r="AP20" s="373">
        <v>1406.9999999999998</v>
      </c>
      <c r="AQ20" s="373">
        <v>1464.9999999999998</v>
      </c>
      <c r="AR20" s="373">
        <v>1698.0000000000002</v>
      </c>
      <c r="AS20" s="373">
        <v>1641</v>
      </c>
      <c r="AT20" s="373">
        <v>1624</v>
      </c>
      <c r="AU20" s="373">
        <v>1818</v>
      </c>
      <c r="AV20" s="373">
        <v>1770.0000000000002</v>
      </c>
      <c r="AW20" s="373">
        <v>1640</v>
      </c>
      <c r="AX20" s="373">
        <v>1758</v>
      </c>
      <c r="AY20" s="373">
        <v>8245</v>
      </c>
      <c r="AZ20" s="373">
        <v>9077</v>
      </c>
      <c r="BA20" s="373">
        <v>9936.0000000000018</v>
      </c>
      <c r="BB20" s="373">
        <v>10148.000000000002</v>
      </c>
      <c r="BC20" s="373">
        <v>8920</v>
      </c>
      <c r="BD20" s="373">
        <v>8007</v>
      </c>
      <c r="BE20" s="373">
        <v>7019.9999999999991</v>
      </c>
      <c r="BF20" s="373">
        <v>6775.0000000000009</v>
      </c>
      <c r="BG20" s="373">
        <v>7549.0000000000009</v>
      </c>
      <c r="BH20" s="373">
        <v>7420</v>
      </c>
      <c r="BI20" s="373">
        <v>5868.9999999999991</v>
      </c>
      <c r="BJ20" s="373">
        <v>4396</v>
      </c>
      <c r="BK20" s="373">
        <v>3330.9999999999995</v>
      </c>
      <c r="BL20" s="373">
        <v>3911</v>
      </c>
      <c r="BM20" s="373">
        <v>81.999999999999986</v>
      </c>
      <c r="BO20" s="373">
        <v>145242</v>
      </c>
      <c r="BP20" s="373">
        <v>930</v>
      </c>
      <c r="BQ20" s="373">
        <v>986</v>
      </c>
      <c r="BR20" s="373">
        <v>929</v>
      </c>
      <c r="BS20" s="373">
        <v>986</v>
      </c>
      <c r="BT20" s="373">
        <v>1105</v>
      </c>
      <c r="BU20" s="373">
        <v>1275</v>
      </c>
      <c r="BV20" s="373">
        <v>1337.0000000000002</v>
      </c>
      <c r="BW20" s="373">
        <v>1493.0000000000002</v>
      </c>
      <c r="BX20" s="373">
        <v>1669</v>
      </c>
      <c r="BY20" s="373">
        <v>1621</v>
      </c>
      <c r="BZ20" s="373">
        <v>1639</v>
      </c>
      <c r="CA20" s="373">
        <v>1717.0000000000002</v>
      </c>
      <c r="CB20" s="373">
        <v>1658</v>
      </c>
      <c r="CC20" s="373">
        <v>1737.0000000000002</v>
      </c>
      <c r="CD20" s="373">
        <v>1752</v>
      </c>
      <c r="CE20" s="373">
        <v>8203.0000000000018</v>
      </c>
      <c r="CF20" s="373">
        <v>9502</v>
      </c>
      <c r="CG20" s="373">
        <v>11029</v>
      </c>
      <c r="CH20" s="373">
        <v>12168</v>
      </c>
      <c r="CI20" s="373">
        <v>10900</v>
      </c>
      <c r="CJ20" s="373">
        <v>9685</v>
      </c>
      <c r="CK20" s="373">
        <v>8521</v>
      </c>
      <c r="CL20" s="373">
        <v>8492</v>
      </c>
      <c r="CM20" s="373">
        <v>9453</v>
      </c>
      <c r="CN20" s="373">
        <v>9331.0000000000018</v>
      </c>
      <c r="CO20" s="373">
        <v>7811.9999999999991</v>
      </c>
      <c r="CP20" s="373">
        <v>5992</v>
      </c>
      <c r="CQ20" s="373">
        <v>5135</v>
      </c>
      <c r="CR20" s="373">
        <v>8140</v>
      </c>
      <c r="CS20" s="373">
        <v>45</v>
      </c>
    </row>
    <row r="21" spans="2:97" ht="5.25" hidden="1" customHeight="1" x14ac:dyDescent="0.2">
      <c r="B21" s="369"/>
      <c r="C21" s="370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I21" s="370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O21" s="370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</row>
    <row r="22" spans="2:97" hidden="1" x14ac:dyDescent="0.2">
      <c r="B22" s="372" t="s">
        <v>226</v>
      </c>
      <c r="C22" s="370">
        <v>34569</v>
      </c>
      <c r="D22" s="371">
        <v>191</v>
      </c>
      <c r="E22" s="371">
        <v>239</v>
      </c>
      <c r="F22" s="371">
        <v>225</v>
      </c>
      <c r="G22" s="371">
        <v>273</v>
      </c>
      <c r="H22" s="371">
        <v>291</v>
      </c>
      <c r="I22" s="371">
        <v>266</v>
      </c>
      <c r="J22" s="371">
        <v>201</v>
      </c>
      <c r="K22" s="371">
        <v>335</v>
      </c>
      <c r="L22" s="371">
        <v>457</v>
      </c>
      <c r="M22" s="371">
        <v>429</v>
      </c>
      <c r="N22" s="371">
        <v>385</v>
      </c>
      <c r="O22" s="371">
        <v>465</v>
      </c>
      <c r="P22" s="371">
        <v>436</v>
      </c>
      <c r="Q22" s="371">
        <v>409</v>
      </c>
      <c r="R22" s="371">
        <v>433</v>
      </c>
      <c r="S22" s="371">
        <v>1998</v>
      </c>
      <c r="T22" s="371">
        <v>2225</v>
      </c>
      <c r="U22" s="371">
        <v>2657</v>
      </c>
      <c r="V22" s="371">
        <v>2931</v>
      </c>
      <c r="W22" s="371">
        <v>2467</v>
      </c>
      <c r="X22" s="371">
        <v>2365</v>
      </c>
      <c r="Y22" s="371">
        <v>2113</v>
      </c>
      <c r="Z22" s="371">
        <v>2060</v>
      </c>
      <c r="AA22" s="371">
        <v>2335</v>
      </c>
      <c r="AB22" s="371">
        <v>2209</v>
      </c>
      <c r="AC22" s="371">
        <v>1934</v>
      </c>
      <c r="AD22" s="371">
        <v>1468</v>
      </c>
      <c r="AE22" s="371">
        <v>1224</v>
      </c>
      <c r="AF22" s="371">
        <v>1533</v>
      </c>
      <c r="AG22" s="371">
        <v>15</v>
      </c>
      <c r="AI22" s="370">
        <v>15852</v>
      </c>
      <c r="AJ22" s="371">
        <v>91</v>
      </c>
      <c r="AK22" s="371">
        <v>136</v>
      </c>
      <c r="AL22" s="371">
        <v>122</v>
      </c>
      <c r="AM22" s="371">
        <v>142</v>
      </c>
      <c r="AN22" s="371">
        <v>138</v>
      </c>
      <c r="AO22" s="371">
        <v>126</v>
      </c>
      <c r="AP22" s="371">
        <v>104</v>
      </c>
      <c r="AQ22" s="371">
        <v>166</v>
      </c>
      <c r="AR22" s="371">
        <v>268</v>
      </c>
      <c r="AS22" s="371">
        <v>203</v>
      </c>
      <c r="AT22" s="371">
        <v>197</v>
      </c>
      <c r="AU22" s="371">
        <v>221</v>
      </c>
      <c r="AV22" s="371">
        <v>220</v>
      </c>
      <c r="AW22" s="371">
        <v>207</v>
      </c>
      <c r="AX22" s="371">
        <v>241</v>
      </c>
      <c r="AY22" s="371">
        <v>1077</v>
      </c>
      <c r="AZ22" s="371">
        <v>1047</v>
      </c>
      <c r="BA22" s="371">
        <v>1300</v>
      </c>
      <c r="BB22" s="371">
        <v>1333</v>
      </c>
      <c r="BC22" s="371">
        <v>1089</v>
      </c>
      <c r="BD22" s="371">
        <v>1029</v>
      </c>
      <c r="BE22" s="371">
        <v>910</v>
      </c>
      <c r="BF22" s="371">
        <v>920</v>
      </c>
      <c r="BG22" s="371">
        <v>1034</v>
      </c>
      <c r="BH22" s="371">
        <v>1000</v>
      </c>
      <c r="BI22" s="371">
        <v>807</v>
      </c>
      <c r="BJ22" s="371">
        <v>645</v>
      </c>
      <c r="BK22" s="371">
        <v>508</v>
      </c>
      <c r="BL22" s="371">
        <v>560</v>
      </c>
      <c r="BM22" s="371">
        <v>11</v>
      </c>
      <c r="BO22" s="370">
        <v>18717</v>
      </c>
      <c r="BP22" s="371">
        <v>100</v>
      </c>
      <c r="BQ22" s="371">
        <v>103</v>
      </c>
      <c r="BR22" s="371">
        <v>103</v>
      </c>
      <c r="BS22" s="371">
        <v>131</v>
      </c>
      <c r="BT22" s="371">
        <v>153</v>
      </c>
      <c r="BU22" s="371">
        <v>140</v>
      </c>
      <c r="BV22" s="371">
        <v>97</v>
      </c>
      <c r="BW22" s="371">
        <v>169</v>
      </c>
      <c r="BX22" s="371">
        <v>189</v>
      </c>
      <c r="BY22" s="371">
        <v>226</v>
      </c>
      <c r="BZ22" s="371">
        <v>188</v>
      </c>
      <c r="CA22" s="371">
        <v>244</v>
      </c>
      <c r="CB22" s="371">
        <v>216</v>
      </c>
      <c r="CC22" s="371">
        <v>202</v>
      </c>
      <c r="CD22" s="371">
        <v>192</v>
      </c>
      <c r="CE22" s="371">
        <v>921</v>
      </c>
      <c r="CF22" s="371">
        <v>1178</v>
      </c>
      <c r="CG22" s="371">
        <v>1357</v>
      </c>
      <c r="CH22" s="371">
        <v>1598</v>
      </c>
      <c r="CI22" s="371">
        <v>1378</v>
      </c>
      <c r="CJ22" s="371">
        <v>1336</v>
      </c>
      <c r="CK22" s="371">
        <v>1203</v>
      </c>
      <c r="CL22" s="371">
        <v>1140</v>
      </c>
      <c r="CM22" s="371">
        <v>1301</v>
      </c>
      <c r="CN22" s="371">
        <v>1209</v>
      </c>
      <c r="CO22" s="371">
        <v>1127</v>
      </c>
      <c r="CP22" s="371">
        <v>823</v>
      </c>
      <c r="CQ22" s="371">
        <v>716</v>
      </c>
      <c r="CR22" s="371">
        <v>973</v>
      </c>
      <c r="CS22" s="371">
        <v>4</v>
      </c>
    </row>
    <row r="23" spans="2:97" ht="7.5" hidden="1" customHeight="1" x14ac:dyDescent="0.2">
      <c r="B23" s="369"/>
      <c r="C23" s="370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I23" s="370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O23" s="370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</row>
    <row r="24" spans="2:97" ht="15.75" hidden="1" customHeight="1" x14ac:dyDescent="0.2">
      <c r="B24" s="369" t="s">
        <v>227</v>
      </c>
      <c r="C24" s="370">
        <v>19314.229449848688</v>
      </c>
      <c r="D24" s="371">
        <v>226.0904801836586</v>
      </c>
      <c r="E24" s="371">
        <v>226.59068036105606</v>
      </c>
      <c r="F24" s="371">
        <v>225.59028000626111</v>
      </c>
      <c r="G24" s="371">
        <v>226.59068036105606</v>
      </c>
      <c r="H24" s="371">
        <v>227.59108071585098</v>
      </c>
      <c r="I24" s="371">
        <v>226.59068036105606</v>
      </c>
      <c r="J24" s="371">
        <v>232.09288231242829</v>
      </c>
      <c r="K24" s="371">
        <v>237.59508426380052</v>
      </c>
      <c r="L24" s="371">
        <v>253.10128976312225</v>
      </c>
      <c r="M24" s="371">
        <v>263.1052933110717</v>
      </c>
      <c r="N24" s="371">
        <v>258.60349171449445</v>
      </c>
      <c r="O24" s="371">
        <v>260.60429242408429</v>
      </c>
      <c r="P24" s="371">
        <v>266.10649437545658</v>
      </c>
      <c r="Q24" s="371">
        <v>265.10609402066166</v>
      </c>
      <c r="R24" s="371">
        <v>266.60669455285404</v>
      </c>
      <c r="S24" s="371">
        <v>1236.9950387039551</v>
      </c>
      <c r="T24" s="371">
        <v>1208.4836285922988</v>
      </c>
      <c r="U24" s="371">
        <v>1273.5096516539706</v>
      </c>
      <c r="V24" s="371">
        <v>1388.0554922779925</v>
      </c>
      <c r="W24" s="371">
        <v>1336.5348740060526</v>
      </c>
      <c r="X24" s="371">
        <v>1322.5292690389233</v>
      </c>
      <c r="Y24" s="371">
        <v>1266.0066489930086</v>
      </c>
      <c r="Z24" s="371">
        <v>1163.9658128039237</v>
      </c>
      <c r="AA24" s="371">
        <v>1193.9778234477722</v>
      </c>
      <c r="AB24" s="371">
        <v>1128.451600208703</v>
      </c>
      <c r="AC24" s="371">
        <v>978.89174716685807</v>
      </c>
      <c r="AD24" s="371">
        <v>827.83129359282066</v>
      </c>
      <c r="AE24" s="371">
        <v>634.25382493999791</v>
      </c>
      <c r="AF24" s="371">
        <v>692.77724569550253</v>
      </c>
      <c r="AG24" s="371">
        <v>0</v>
      </c>
      <c r="AI24" s="370">
        <v>9544.3195849212152</v>
      </c>
      <c r="AJ24" s="371">
        <v>114.54584062402172</v>
      </c>
      <c r="AK24" s="371">
        <v>116.04644115621414</v>
      </c>
      <c r="AL24" s="371">
        <v>116.04644115621414</v>
      </c>
      <c r="AM24" s="371">
        <v>115.54624097881667</v>
      </c>
      <c r="AN24" s="371">
        <v>114.04564044662423</v>
      </c>
      <c r="AO24" s="371">
        <v>112.04483973703435</v>
      </c>
      <c r="AP24" s="371">
        <v>116.54664133361162</v>
      </c>
      <c r="AQ24" s="371">
        <v>118.04724186580404</v>
      </c>
      <c r="AR24" s="371">
        <v>126.55064488156113</v>
      </c>
      <c r="AS24" s="371">
        <v>132.5530470103308</v>
      </c>
      <c r="AT24" s="371">
        <v>131.05244647813839</v>
      </c>
      <c r="AU24" s="371">
        <v>131.55264665553585</v>
      </c>
      <c r="AV24" s="371">
        <v>134.05364754252324</v>
      </c>
      <c r="AW24" s="371">
        <v>135.55424807471567</v>
      </c>
      <c r="AX24" s="371">
        <v>136.55464842951059</v>
      </c>
      <c r="AY24" s="371">
        <v>601.24061323176466</v>
      </c>
      <c r="AZ24" s="371">
        <v>606.24261500573937</v>
      </c>
      <c r="BA24" s="371">
        <v>675.27023948659087</v>
      </c>
      <c r="BB24" s="371">
        <v>692.27704551810507</v>
      </c>
      <c r="BC24" s="371">
        <v>662.26503487425657</v>
      </c>
      <c r="BD24" s="371">
        <v>669.7680375352187</v>
      </c>
      <c r="BE24" s="371">
        <v>649.25983026192216</v>
      </c>
      <c r="BF24" s="371">
        <v>578.23140507148082</v>
      </c>
      <c r="BG24" s="371">
        <v>577.73120489408336</v>
      </c>
      <c r="BH24" s="371">
        <v>552.22099584681212</v>
      </c>
      <c r="BI24" s="371">
        <v>461.1845635604717</v>
      </c>
      <c r="BJ24" s="371">
        <v>384.15373624126062</v>
      </c>
      <c r="BK24" s="371">
        <v>301.62070697067725</v>
      </c>
      <c r="BL24" s="371">
        <v>282.11290005217575</v>
      </c>
      <c r="BM24" s="371">
        <v>0</v>
      </c>
      <c r="BO24" s="370">
        <v>9769.9098649274783</v>
      </c>
      <c r="BP24" s="371">
        <v>111.54463955963688</v>
      </c>
      <c r="BQ24" s="371">
        <v>110.54423920484192</v>
      </c>
      <c r="BR24" s="371">
        <v>109.54383885004697</v>
      </c>
      <c r="BS24" s="371">
        <v>111.0444393822394</v>
      </c>
      <c r="BT24" s="371">
        <v>113.54544026922676</v>
      </c>
      <c r="BU24" s="371">
        <v>114.54584062402172</v>
      </c>
      <c r="BV24" s="371">
        <v>115.54624097881667</v>
      </c>
      <c r="BW24" s="371">
        <v>119.54784239799648</v>
      </c>
      <c r="BX24" s="371">
        <v>126.55064488156113</v>
      </c>
      <c r="BY24" s="371">
        <v>130.5522463007409</v>
      </c>
      <c r="BZ24" s="371">
        <v>127.55104523635606</v>
      </c>
      <c r="CA24" s="371">
        <v>129.05164576854847</v>
      </c>
      <c r="CB24" s="371">
        <v>132.05284683293334</v>
      </c>
      <c r="CC24" s="371">
        <v>129.55184594594596</v>
      </c>
      <c r="CD24" s="371">
        <v>130.05204612334344</v>
      </c>
      <c r="CE24" s="371">
        <v>635.75442547219041</v>
      </c>
      <c r="CF24" s="371">
        <v>602.24101358655957</v>
      </c>
      <c r="CG24" s="371">
        <v>598.2394121673799</v>
      </c>
      <c r="CH24" s="371">
        <v>695.7784467598874</v>
      </c>
      <c r="CI24" s="371">
        <v>674.26983913179595</v>
      </c>
      <c r="CJ24" s="371">
        <v>652.76123150370449</v>
      </c>
      <c r="CK24" s="371">
        <v>616.74681873108636</v>
      </c>
      <c r="CL24" s="371">
        <v>585.73440773244295</v>
      </c>
      <c r="CM24" s="371">
        <v>616.2466185536889</v>
      </c>
      <c r="CN24" s="371">
        <v>576.23060436189087</v>
      </c>
      <c r="CO24" s="371">
        <v>517.70718360638637</v>
      </c>
      <c r="CP24" s="371">
        <v>443.6775573515601</v>
      </c>
      <c r="CQ24" s="371">
        <v>332.63311796932072</v>
      </c>
      <c r="CR24" s="371">
        <v>410.66434564332678</v>
      </c>
      <c r="CS24" s="371">
        <v>0</v>
      </c>
    </row>
    <row r="25" spans="2:97" ht="15.75" hidden="1" customHeight="1" x14ac:dyDescent="0.2">
      <c r="B25" s="369" t="s">
        <v>228</v>
      </c>
      <c r="C25" s="370">
        <v>18330</v>
      </c>
      <c r="D25" s="371">
        <v>58</v>
      </c>
      <c r="E25" s="371">
        <v>115</v>
      </c>
      <c r="F25" s="371">
        <v>112</v>
      </c>
      <c r="G25" s="371">
        <v>140</v>
      </c>
      <c r="H25" s="371">
        <v>153</v>
      </c>
      <c r="I25" s="371">
        <v>144</v>
      </c>
      <c r="J25" s="371">
        <v>169</v>
      </c>
      <c r="K25" s="371">
        <v>206</v>
      </c>
      <c r="L25" s="371">
        <v>239</v>
      </c>
      <c r="M25" s="371">
        <v>198</v>
      </c>
      <c r="N25" s="371">
        <v>233</v>
      </c>
      <c r="O25" s="371">
        <v>239</v>
      </c>
      <c r="P25" s="371">
        <v>245</v>
      </c>
      <c r="Q25" s="371">
        <v>278</v>
      </c>
      <c r="R25" s="371">
        <v>260</v>
      </c>
      <c r="S25" s="371">
        <v>1220</v>
      </c>
      <c r="T25" s="371">
        <v>1258</v>
      </c>
      <c r="U25" s="371">
        <v>1228</v>
      </c>
      <c r="V25" s="371">
        <v>1290</v>
      </c>
      <c r="W25" s="371">
        <v>1165</v>
      </c>
      <c r="X25" s="371">
        <v>1172</v>
      </c>
      <c r="Y25" s="371">
        <v>1129</v>
      </c>
      <c r="Z25" s="371">
        <v>1095</v>
      </c>
      <c r="AA25" s="371">
        <v>1335</v>
      </c>
      <c r="AB25" s="371">
        <v>1337</v>
      </c>
      <c r="AC25" s="371">
        <v>1066</v>
      </c>
      <c r="AD25" s="371">
        <v>866</v>
      </c>
      <c r="AE25" s="371">
        <v>655</v>
      </c>
      <c r="AF25" s="371">
        <v>720</v>
      </c>
      <c r="AG25" s="371">
        <v>5</v>
      </c>
      <c r="AI25" s="370">
        <v>8162</v>
      </c>
      <c r="AJ25" s="371">
        <v>28</v>
      </c>
      <c r="AK25" s="371">
        <v>64</v>
      </c>
      <c r="AL25" s="371">
        <v>50</v>
      </c>
      <c r="AM25" s="371">
        <v>76</v>
      </c>
      <c r="AN25" s="371">
        <v>82</v>
      </c>
      <c r="AO25" s="371">
        <v>88</v>
      </c>
      <c r="AP25" s="371">
        <v>86</v>
      </c>
      <c r="AQ25" s="371">
        <v>108</v>
      </c>
      <c r="AR25" s="371">
        <v>122</v>
      </c>
      <c r="AS25" s="371">
        <v>98</v>
      </c>
      <c r="AT25" s="371">
        <v>109</v>
      </c>
      <c r="AU25" s="371">
        <v>119</v>
      </c>
      <c r="AV25" s="371">
        <v>118</v>
      </c>
      <c r="AW25" s="371">
        <v>141</v>
      </c>
      <c r="AX25" s="371">
        <v>142</v>
      </c>
      <c r="AY25" s="371">
        <v>606</v>
      </c>
      <c r="AZ25" s="371">
        <v>624</v>
      </c>
      <c r="BA25" s="371">
        <v>535</v>
      </c>
      <c r="BB25" s="371">
        <v>549</v>
      </c>
      <c r="BC25" s="371">
        <v>460</v>
      </c>
      <c r="BD25" s="371">
        <v>496</v>
      </c>
      <c r="BE25" s="371">
        <v>471</v>
      </c>
      <c r="BF25" s="371">
        <v>463</v>
      </c>
      <c r="BG25" s="371">
        <v>573</v>
      </c>
      <c r="BH25" s="371">
        <v>564</v>
      </c>
      <c r="BI25" s="371">
        <v>463</v>
      </c>
      <c r="BJ25" s="371">
        <v>363</v>
      </c>
      <c r="BK25" s="371">
        <v>280</v>
      </c>
      <c r="BL25" s="371">
        <v>279</v>
      </c>
      <c r="BM25" s="371">
        <v>5</v>
      </c>
      <c r="BO25" s="370">
        <v>10168</v>
      </c>
      <c r="BP25" s="371">
        <v>30</v>
      </c>
      <c r="BQ25" s="371">
        <v>51</v>
      </c>
      <c r="BR25" s="371">
        <v>62</v>
      </c>
      <c r="BS25" s="371">
        <v>64</v>
      </c>
      <c r="BT25" s="371">
        <v>71</v>
      </c>
      <c r="BU25" s="371">
        <v>56</v>
      </c>
      <c r="BV25" s="371">
        <v>83</v>
      </c>
      <c r="BW25" s="371">
        <v>98</v>
      </c>
      <c r="BX25" s="371">
        <v>117</v>
      </c>
      <c r="BY25" s="371">
        <v>100</v>
      </c>
      <c r="BZ25" s="371">
        <v>124</v>
      </c>
      <c r="CA25" s="371">
        <v>120</v>
      </c>
      <c r="CB25" s="371">
        <v>127</v>
      </c>
      <c r="CC25" s="371">
        <v>137</v>
      </c>
      <c r="CD25" s="371">
        <v>118</v>
      </c>
      <c r="CE25" s="371">
        <v>614</v>
      </c>
      <c r="CF25" s="371">
        <v>634</v>
      </c>
      <c r="CG25" s="371">
        <v>693</v>
      </c>
      <c r="CH25" s="371">
        <v>741</v>
      </c>
      <c r="CI25" s="371">
        <v>705</v>
      </c>
      <c r="CJ25" s="371">
        <v>676</v>
      </c>
      <c r="CK25" s="371">
        <v>658</v>
      </c>
      <c r="CL25" s="371">
        <v>632</v>
      </c>
      <c r="CM25" s="371">
        <v>762</v>
      </c>
      <c r="CN25" s="371">
        <v>773</v>
      </c>
      <c r="CO25" s="371">
        <v>603</v>
      </c>
      <c r="CP25" s="371">
        <v>503</v>
      </c>
      <c r="CQ25" s="371">
        <v>375</v>
      </c>
      <c r="CR25" s="371">
        <v>441</v>
      </c>
      <c r="CS25" s="371">
        <v>0</v>
      </c>
    </row>
    <row r="26" spans="2:97" ht="15.75" hidden="1" customHeight="1" x14ac:dyDescent="0.2">
      <c r="B26" s="372" t="s">
        <v>229</v>
      </c>
      <c r="C26" s="373">
        <v>37644.229449848688</v>
      </c>
      <c r="D26" s="373">
        <v>284.0904801836586</v>
      </c>
      <c r="E26" s="373">
        <v>341.59068036105606</v>
      </c>
      <c r="F26" s="373">
        <v>337.59028000626108</v>
      </c>
      <c r="G26" s="373">
        <v>366.59068036105606</v>
      </c>
      <c r="H26" s="373">
        <v>380.59108071585098</v>
      </c>
      <c r="I26" s="373">
        <v>370.59068036105606</v>
      </c>
      <c r="J26" s="373">
        <v>401.09288231242829</v>
      </c>
      <c r="K26" s="373">
        <v>443.59508426380052</v>
      </c>
      <c r="L26" s="373">
        <v>492.10128976312228</v>
      </c>
      <c r="M26" s="373">
        <v>461.1052933110717</v>
      </c>
      <c r="N26" s="373">
        <v>491.60349171449445</v>
      </c>
      <c r="O26" s="373">
        <v>499.60429242408429</v>
      </c>
      <c r="P26" s="373">
        <v>511.10649437545658</v>
      </c>
      <c r="Q26" s="373">
        <v>543.10609402066166</v>
      </c>
      <c r="R26" s="373">
        <v>526.60669455285404</v>
      </c>
      <c r="S26" s="373">
        <v>2456.9950387039553</v>
      </c>
      <c r="T26" s="373">
        <v>2466.4836285922988</v>
      </c>
      <c r="U26" s="373">
        <v>2501.5096516539706</v>
      </c>
      <c r="V26" s="373">
        <v>2678.0554922779925</v>
      </c>
      <c r="W26" s="373">
        <v>2501.5348740060526</v>
      </c>
      <c r="X26" s="373">
        <v>2494.5292690389233</v>
      </c>
      <c r="Y26" s="373">
        <v>2395.0066489930086</v>
      </c>
      <c r="Z26" s="373">
        <v>2258.9658128039237</v>
      </c>
      <c r="AA26" s="373">
        <v>2528.9778234477722</v>
      </c>
      <c r="AB26" s="373">
        <v>2465.451600208703</v>
      </c>
      <c r="AC26" s="373">
        <v>2044.8917471668581</v>
      </c>
      <c r="AD26" s="373">
        <v>1693.8312935928207</v>
      </c>
      <c r="AE26" s="373">
        <v>1289.2538249399979</v>
      </c>
      <c r="AF26" s="373">
        <v>1412.7772456955026</v>
      </c>
      <c r="AG26" s="373">
        <v>5</v>
      </c>
      <c r="AI26" s="373">
        <v>17706.319584921213</v>
      </c>
      <c r="AJ26" s="373">
        <v>142.54584062402171</v>
      </c>
      <c r="AK26" s="373">
        <v>180.04644115621414</v>
      </c>
      <c r="AL26" s="373">
        <v>166.04644115621414</v>
      </c>
      <c r="AM26" s="373">
        <v>191.54624097881668</v>
      </c>
      <c r="AN26" s="373">
        <v>196.04564044662425</v>
      </c>
      <c r="AO26" s="373">
        <v>200.04483973703435</v>
      </c>
      <c r="AP26" s="373">
        <v>202.5466413336116</v>
      </c>
      <c r="AQ26" s="373">
        <v>226.04724186580404</v>
      </c>
      <c r="AR26" s="373">
        <v>248.55064488156114</v>
      </c>
      <c r="AS26" s="373">
        <v>230.5530470103308</v>
      </c>
      <c r="AT26" s="373">
        <v>240.05244647813839</v>
      </c>
      <c r="AU26" s="373">
        <v>250.55264665553585</v>
      </c>
      <c r="AV26" s="373">
        <v>252.05364754252324</v>
      </c>
      <c r="AW26" s="373">
        <v>276.5542480747157</v>
      </c>
      <c r="AX26" s="373">
        <v>278.55464842951062</v>
      </c>
      <c r="AY26" s="373">
        <v>1207.2406132317647</v>
      </c>
      <c r="AZ26" s="373">
        <v>1230.2426150057395</v>
      </c>
      <c r="BA26" s="373">
        <v>1210.270239486591</v>
      </c>
      <c r="BB26" s="373">
        <v>1241.2770455181051</v>
      </c>
      <c r="BC26" s="373">
        <v>1122.2650348742566</v>
      </c>
      <c r="BD26" s="373">
        <v>1165.7680375352188</v>
      </c>
      <c r="BE26" s="373">
        <v>1120.2598302619222</v>
      </c>
      <c r="BF26" s="373">
        <v>1041.2314050714808</v>
      </c>
      <c r="BG26" s="373">
        <v>1150.7312048940835</v>
      </c>
      <c r="BH26" s="373">
        <v>1116.220995846812</v>
      </c>
      <c r="BI26" s="373">
        <v>924.1845635604717</v>
      </c>
      <c r="BJ26" s="373">
        <v>747.15373624126062</v>
      </c>
      <c r="BK26" s="373">
        <v>581.62070697067725</v>
      </c>
      <c r="BL26" s="373">
        <v>561.11290005217575</v>
      </c>
      <c r="BM26" s="373">
        <v>5</v>
      </c>
      <c r="BO26" s="373">
        <v>19937.909864927478</v>
      </c>
      <c r="BP26" s="373">
        <v>141.54463955963689</v>
      </c>
      <c r="BQ26" s="373">
        <v>161.54423920484192</v>
      </c>
      <c r="BR26" s="373">
        <v>171.54383885004697</v>
      </c>
      <c r="BS26" s="373">
        <v>175.0444393822394</v>
      </c>
      <c r="BT26" s="373">
        <v>184.54544026922676</v>
      </c>
      <c r="BU26" s="373">
        <v>170.54584062402171</v>
      </c>
      <c r="BV26" s="373">
        <v>198.54624097881668</v>
      </c>
      <c r="BW26" s="373">
        <v>217.54784239799648</v>
      </c>
      <c r="BX26" s="373">
        <v>243.55064488156114</v>
      </c>
      <c r="BY26" s="373">
        <v>230.5522463007409</v>
      </c>
      <c r="BZ26" s="373">
        <v>251.55104523635606</v>
      </c>
      <c r="CA26" s="373">
        <v>249.05164576854847</v>
      </c>
      <c r="CB26" s="373">
        <v>259.05284683293337</v>
      </c>
      <c r="CC26" s="373">
        <v>266.55184594594596</v>
      </c>
      <c r="CD26" s="373">
        <v>248.05204612334344</v>
      </c>
      <c r="CE26" s="373">
        <v>1249.7544254721904</v>
      </c>
      <c r="CF26" s="373">
        <v>1236.2410135865596</v>
      </c>
      <c r="CG26" s="373">
        <v>1291.2394121673799</v>
      </c>
      <c r="CH26" s="373">
        <v>1436.7784467598874</v>
      </c>
      <c r="CI26" s="373">
        <v>1379.2698391317958</v>
      </c>
      <c r="CJ26" s="373">
        <v>1328.7612315037045</v>
      </c>
      <c r="CK26" s="373">
        <v>1274.7468187310865</v>
      </c>
      <c r="CL26" s="373">
        <v>1217.7344077324428</v>
      </c>
      <c r="CM26" s="373">
        <v>1378.2466185536889</v>
      </c>
      <c r="CN26" s="373">
        <v>1349.230604361891</v>
      </c>
      <c r="CO26" s="373">
        <v>1120.7071836063865</v>
      </c>
      <c r="CP26" s="373">
        <v>946.67755735156015</v>
      </c>
      <c r="CQ26" s="373">
        <v>707.63311796932066</v>
      </c>
      <c r="CR26" s="373">
        <v>851.66434564332678</v>
      </c>
      <c r="CS26" s="373">
        <v>0</v>
      </c>
    </row>
    <row r="27" spans="2:97" ht="7.5" hidden="1" customHeight="1" x14ac:dyDescent="0.2">
      <c r="B27" s="369"/>
      <c r="C27" s="370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I27" s="370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1"/>
      <c r="BO27" s="370"/>
      <c r="BP27" s="371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J27" s="371"/>
      <c r="CK27" s="371"/>
      <c r="CL27" s="371"/>
      <c r="CM27" s="371"/>
      <c r="CN27" s="371"/>
      <c r="CO27" s="371"/>
      <c r="CP27" s="371"/>
      <c r="CQ27" s="371"/>
      <c r="CR27" s="371"/>
      <c r="CS27" s="371"/>
    </row>
    <row r="28" spans="2:97" hidden="1" x14ac:dyDescent="0.2">
      <c r="B28" s="369" t="s">
        <v>230</v>
      </c>
      <c r="C28" s="370">
        <v>8520</v>
      </c>
      <c r="D28" s="371">
        <v>29</v>
      </c>
      <c r="E28" s="371">
        <v>49</v>
      </c>
      <c r="F28" s="371">
        <v>47</v>
      </c>
      <c r="G28" s="371">
        <v>80</v>
      </c>
      <c r="H28" s="371">
        <v>85</v>
      </c>
      <c r="I28" s="371">
        <v>56</v>
      </c>
      <c r="J28" s="371">
        <v>57</v>
      </c>
      <c r="K28" s="371">
        <v>88</v>
      </c>
      <c r="L28" s="371">
        <v>120</v>
      </c>
      <c r="M28" s="371">
        <v>126</v>
      </c>
      <c r="N28" s="371">
        <v>148</v>
      </c>
      <c r="O28" s="371">
        <v>131</v>
      </c>
      <c r="P28" s="371">
        <v>122</v>
      </c>
      <c r="Q28" s="371">
        <v>136</v>
      </c>
      <c r="R28" s="371">
        <v>112</v>
      </c>
      <c r="S28" s="371">
        <v>588</v>
      </c>
      <c r="T28" s="371">
        <v>551</v>
      </c>
      <c r="U28" s="371">
        <v>602</v>
      </c>
      <c r="V28" s="371">
        <v>668</v>
      </c>
      <c r="W28" s="371">
        <v>543</v>
      </c>
      <c r="X28" s="371">
        <v>504</v>
      </c>
      <c r="Y28" s="371">
        <v>490</v>
      </c>
      <c r="Z28" s="371">
        <v>497</v>
      </c>
      <c r="AA28" s="371">
        <v>573</v>
      </c>
      <c r="AB28" s="371">
        <v>581</v>
      </c>
      <c r="AC28" s="371">
        <v>496</v>
      </c>
      <c r="AD28" s="371">
        <v>397</v>
      </c>
      <c r="AE28" s="371">
        <v>280</v>
      </c>
      <c r="AF28" s="371">
        <v>361</v>
      </c>
      <c r="AG28" s="371">
        <v>3</v>
      </c>
      <c r="AI28" s="370">
        <v>4059</v>
      </c>
      <c r="AJ28" s="371">
        <v>16</v>
      </c>
      <c r="AK28" s="371">
        <v>21</v>
      </c>
      <c r="AL28" s="371">
        <v>25</v>
      </c>
      <c r="AM28" s="371">
        <v>42</v>
      </c>
      <c r="AN28" s="371">
        <v>45</v>
      </c>
      <c r="AO28" s="371">
        <v>22</v>
      </c>
      <c r="AP28" s="371">
        <v>32</v>
      </c>
      <c r="AQ28" s="371">
        <v>43</v>
      </c>
      <c r="AR28" s="371">
        <v>64</v>
      </c>
      <c r="AS28" s="371">
        <v>61</v>
      </c>
      <c r="AT28" s="371">
        <v>81</v>
      </c>
      <c r="AU28" s="371">
        <v>64</v>
      </c>
      <c r="AV28" s="371">
        <v>57</v>
      </c>
      <c r="AW28" s="371">
        <v>82</v>
      </c>
      <c r="AX28" s="371">
        <v>50</v>
      </c>
      <c r="AY28" s="371">
        <v>304</v>
      </c>
      <c r="AZ28" s="371">
        <v>290</v>
      </c>
      <c r="BA28" s="371">
        <v>294</v>
      </c>
      <c r="BB28" s="371">
        <v>273</v>
      </c>
      <c r="BC28" s="371">
        <v>260</v>
      </c>
      <c r="BD28" s="371">
        <v>238</v>
      </c>
      <c r="BE28" s="371">
        <v>204</v>
      </c>
      <c r="BF28" s="371">
        <v>253</v>
      </c>
      <c r="BG28" s="371">
        <v>272</v>
      </c>
      <c r="BH28" s="371">
        <v>278</v>
      </c>
      <c r="BI28" s="371">
        <v>231</v>
      </c>
      <c r="BJ28" s="371">
        <v>189</v>
      </c>
      <c r="BK28" s="371">
        <v>127</v>
      </c>
      <c r="BL28" s="371">
        <v>139</v>
      </c>
      <c r="BM28" s="371">
        <v>2</v>
      </c>
      <c r="BO28" s="370">
        <v>4461</v>
      </c>
      <c r="BP28" s="371">
        <v>13</v>
      </c>
      <c r="BQ28" s="371">
        <v>28</v>
      </c>
      <c r="BR28" s="371">
        <v>22</v>
      </c>
      <c r="BS28" s="371">
        <v>38</v>
      </c>
      <c r="BT28" s="371">
        <v>40</v>
      </c>
      <c r="BU28" s="371">
        <v>34</v>
      </c>
      <c r="BV28" s="371">
        <v>25</v>
      </c>
      <c r="BW28" s="371">
        <v>45</v>
      </c>
      <c r="BX28" s="371">
        <v>56</v>
      </c>
      <c r="BY28" s="371">
        <v>65</v>
      </c>
      <c r="BZ28" s="371">
        <v>67</v>
      </c>
      <c r="CA28" s="371">
        <v>67</v>
      </c>
      <c r="CB28" s="371">
        <v>65</v>
      </c>
      <c r="CC28" s="371">
        <v>54</v>
      </c>
      <c r="CD28" s="371">
        <v>62</v>
      </c>
      <c r="CE28" s="371">
        <v>284</v>
      </c>
      <c r="CF28" s="371">
        <v>261</v>
      </c>
      <c r="CG28" s="371">
        <v>308</v>
      </c>
      <c r="CH28" s="371">
        <v>395</v>
      </c>
      <c r="CI28" s="371">
        <v>283</v>
      </c>
      <c r="CJ28" s="371">
        <v>266</v>
      </c>
      <c r="CK28" s="371">
        <v>286</v>
      </c>
      <c r="CL28" s="371">
        <v>244</v>
      </c>
      <c r="CM28" s="371">
        <v>301</v>
      </c>
      <c r="CN28" s="371">
        <v>303</v>
      </c>
      <c r="CO28" s="371">
        <v>265</v>
      </c>
      <c r="CP28" s="371">
        <v>208</v>
      </c>
      <c r="CQ28" s="371">
        <v>153</v>
      </c>
      <c r="CR28" s="371">
        <v>222</v>
      </c>
      <c r="CS28" s="371">
        <v>1</v>
      </c>
    </row>
    <row r="29" spans="2:97" hidden="1" x14ac:dyDescent="0.2">
      <c r="B29" s="369" t="s">
        <v>231</v>
      </c>
      <c r="C29" s="370">
        <v>9489</v>
      </c>
      <c r="D29" s="371">
        <v>41</v>
      </c>
      <c r="E29" s="371">
        <v>61</v>
      </c>
      <c r="F29" s="371">
        <v>70</v>
      </c>
      <c r="G29" s="371">
        <v>82</v>
      </c>
      <c r="H29" s="371">
        <v>62</v>
      </c>
      <c r="I29" s="371">
        <v>55</v>
      </c>
      <c r="J29" s="371">
        <v>75</v>
      </c>
      <c r="K29" s="371">
        <v>120</v>
      </c>
      <c r="L29" s="371">
        <v>132</v>
      </c>
      <c r="M29" s="371">
        <v>130</v>
      </c>
      <c r="N29" s="371">
        <v>124</v>
      </c>
      <c r="O29" s="371">
        <v>122</v>
      </c>
      <c r="P29" s="371">
        <v>130</v>
      </c>
      <c r="Q29" s="371">
        <v>121</v>
      </c>
      <c r="R29" s="371">
        <v>132</v>
      </c>
      <c r="S29" s="371">
        <v>615</v>
      </c>
      <c r="T29" s="371">
        <v>582</v>
      </c>
      <c r="U29" s="371">
        <v>694</v>
      </c>
      <c r="V29" s="371">
        <v>682</v>
      </c>
      <c r="W29" s="371">
        <v>708</v>
      </c>
      <c r="X29" s="371">
        <v>690</v>
      </c>
      <c r="Y29" s="371">
        <v>663</v>
      </c>
      <c r="Z29" s="371">
        <v>619</v>
      </c>
      <c r="AA29" s="371">
        <v>610</v>
      </c>
      <c r="AB29" s="371">
        <v>609</v>
      </c>
      <c r="AC29" s="371">
        <v>523</v>
      </c>
      <c r="AD29" s="371">
        <v>370</v>
      </c>
      <c r="AE29" s="371">
        <v>287</v>
      </c>
      <c r="AF29" s="371">
        <v>375</v>
      </c>
      <c r="AG29" s="371">
        <v>5</v>
      </c>
      <c r="AI29" s="370">
        <v>4594</v>
      </c>
      <c r="AJ29" s="371">
        <v>21</v>
      </c>
      <c r="AK29" s="371">
        <v>33</v>
      </c>
      <c r="AL29" s="371">
        <v>38</v>
      </c>
      <c r="AM29" s="371">
        <v>30</v>
      </c>
      <c r="AN29" s="371">
        <v>24</v>
      </c>
      <c r="AO29" s="371">
        <v>23</v>
      </c>
      <c r="AP29" s="371">
        <v>41</v>
      </c>
      <c r="AQ29" s="371">
        <v>58</v>
      </c>
      <c r="AR29" s="371">
        <v>71</v>
      </c>
      <c r="AS29" s="371">
        <v>69</v>
      </c>
      <c r="AT29" s="371">
        <v>53</v>
      </c>
      <c r="AU29" s="371">
        <v>50</v>
      </c>
      <c r="AV29" s="371">
        <v>62</v>
      </c>
      <c r="AW29" s="371">
        <v>62</v>
      </c>
      <c r="AX29" s="371">
        <v>73</v>
      </c>
      <c r="AY29" s="371">
        <v>326</v>
      </c>
      <c r="AZ29" s="371">
        <v>280</v>
      </c>
      <c r="BA29" s="371">
        <v>317</v>
      </c>
      <c r="BB29" s="371">
        <v>339</v>
      </c>
      <c r="BC29" s="371">
        <v>330</v>
      </c>
      <c r="BD29" s="371">
        <v>340</v>
      </c>
      <c r="BE29" s="371">
        <v>313</v>
      </c>
      <c r="BF29" s="371">
        <v>300</v>
      </c>
      <c r="BG29" s="371">
        <v>296</v>
      </c>
      <c r="BH29" s="371">
        <v>295</v>
      </c>
      <c r="BI29" s="371">
        <v>263</v>
      </c>
      <c r="BJ29" s="371">
        <v>184</v>
      </c>
      <c r="BK29" s="371">
        <v>148</v>
      </c>
      <c r="BL29" s="371">
        <v>153</v>
      </c>
      <c r="BM29" s="371">
        <v>2</v>
      </c>
      <c r="BO29" s="370">
        <v>4895</v>
      </c>
      <c r="BP29" s="371">
        <v>20</v>
      </c>
      <c r="BQ29" s="371">
        <v>28</v>
      </c>
      <c r="BR29" s="371">
        <v>32</v>
      </c>
      <c r="BS29" s="371">
        <v>52</v>
      </c>
      <c r="BT29" s="371">
        <v>38</v>
      </c>
      <c r="BU29" s="371">
        <v>32</v>
      </c>
      <c r="BV29" s="371">
        <v>34</v>
      </c>
      <c r="BW29" s="371">
        <v>62</v>
      </c>
      <c r="BX29" s="371">
        <v>61</v>
      </c>
      <c r="BY29" s="371">
        <v>61</v>
      </c>
      <c r="BZ29" s="371">
        <v>71</v>
      </c>
      <c r="CA29" s="371">
        <v>72</v>
      </c>
      <c r="CB29" s="371">
        <v>68</v>
      </c>
      <c r="CC29" s="371">
        <v>59</v>
      </c>
      <c r="CD29" s="371">
        <v>59</v>
      </c>
      <c r="CE29" s="371">
        <v>289</v>
      </c>
      <c r="CF29" s="371">
        <v>302</v>
      </c>
      <c r="CG29" s="371">
        <v>377</v>
      </c>
      <c r="CH29" s="371">
        <v>343</v>
      </c>
      <c r="CI29" s="371">
        <v>378</v>
      </c>
      <c r="CJ29" s="371">
        <v>350</v>
      </c>
      <c r="CK29" s="371">
        <v>350</v>
      </c>
      <c r="CL29" s="371">
        <v>319</v>
      </c>
      <c r="CM29" s="371">
        <v>314</v>
      </c>
      <c r="CN29" s="371">
        <v>314</v>
      </c>
      <c r="CO29" s="371">
        <v>260</v>
      </c>
      <c r="CP29" s="371">
        <v>186</v>
      </c>
      <c r="CQ29" s="371">
        <v>139</v>
      </c>
      <c r="CR29" s="371">
        <v>222</v>
      </c>
      <c r="CS29" s="371">
        <v>3</v>
      </c>
    </row>
    <row r="30" spans="2:97" hidden="1" x14ac:dyDescent="0.2">
      <c r="B30" s="369" t="s">
        <v>232</v>
      </c>
      <c r="C30" s="370">
        <v>405</v>
      </c>
      <c r="D30" s="371">
        <v>5</v>
      </c>
      <c r="E30" s="371">
        <v>0</v>
      </c>
      <c r="F30" s="371">
        <v>2</v>
      </c>
      <c r="G30" s="371">
        <v>0</v>
      </c>
      <c r="H30" s="371">
        <v>2</v>
      </c>
      <c r="I30" s="371">
        <v>3</v>
      </c>
      <c r="J30" s="371">
        <v>1</v>
      </c>
      <c r="K30" s="371">
        <v>2</v>
      </c>
      <c r="L30" s="371">
        <v>6</v>
      </c>
      <c r="M30" s="371">
        <v>4</v>
      </c>
      <c r="N30" s="371">
        <v>5</v>
      </c>
      <c r="O30" s="371">
        <v>5</v>
      </c>
      <c r="P30" s="371">
        <v>11</v>
      </c>
      <c r="Q30" s="371">
        <v>8</v>
      </c>
      <c r="R30" s="371">
        <v>7</v>
      </c>
      <c r="S30" s="371">
        <v>46</v>
      </c>
      <c r="T30" s="371">
        <v>26</v>
      </c>
      <c r="U30" s="371">
        <v>17</v>
      </c>
      <c r="V30" s="371">
        <v>19</v>
      </c>
      <c r="W30" s="371">
        <v>20</v>
      </c>
      <c r="X30" s="371">
        <v>25</v>
      </c>
      <c r="Y30" s="371">
        <v>29</v>
      </c>
      <c r="Z30" s="371">
        <v>20</v>
      </c>
      <c r="AA30" s="371">
        <v>17</v>
      </c>
      <c r="AB30" s="371">
        <v>29</v>
      </c>
      <c r="AC30" s="371">
        <v>30</v>
      </c>
      <c r="AD30" s="371">
        <v>17</v>
      </c>
      <c r="AE30" s="371">
        <v>14</v>
      </c>
      <c r="AF30" s="371">
        <v>35</v>
      </c>
      <c r="AG30" s="371">
        <v>0</v>
      </c>
      <c r="AI30" s="370">
        <v>175</v>
      </c>
      <c r="AJ30" s="371">
        <v>3</v>
      </c>
      <c r="AK30" s="371">
        <v>0</v>
      </c>
      <c r="AL30" s="371">
        <v>2</v>
      </c>
      <c r="AM30" s="371">
        <v>0</v>
      </c>
      <c r="AN30" s="371">
        <v>1</v>
      </c>
      <c r="AO30" s="371">
        <v>0</v>
      </c>
      <c r="AP30" s="371">
        <v>1</v>
      </c>
      <c r="AQ30" s="371">
        <v>2</v>
      </c>
      <c r="AR30" s="371">
        <v>4</v>
      </c>
      <c r="AS30" s="371">
        <v>3</v>
      </c>
      <c r="AT30" s="371">
        <v>2</v>
      </c>
      <c r="AU30" s="371">
        <v>2</v>
      </c>
      <c r="AV30" s="371">
        <v>4</v>
      </c>
      <c r="AW30" s="371">
        <v>6</v>
      </c>
      <c r="AX30" s="371">
        <v>3</v>
      </c>
      <c r="AY30" s="371">
        <v>24</v>
      </c>
      <c r="AZ30" s="371">
        <v>15</v>
      </c>
      <c r="BA30" s="371">
        <v>10</v>
      </c>
      <c r="BB30" s="371">
        <v>10</v>
      </c>
      <c r="BC30" s="371">
        <v>7</v>
      </c>
      <c r="BD30" s="371">
        <v>7</v>
      </c>
      <c r="BE30" s="371">
        <v>7</v>
      </c>
      <c r="BF30" s="371">
        <v>5</v>
      </c>
      <c r="BG30" s="371">
        <v>5</v>
      </c>
      <c r="BH30" s="371">
        <v>13</v>
      </c>
      <c r="BI30" s="371">
        <v>12</v>
      </c>
      <c r="BJ30" s="371">
        <v>8</v>
      </c>
      <c r="BK30" s="371">
        <v>5</v>
      </c>
      <c r="BL30" s="371">
        <v>14</v>
      </c>
      <c r="BM30" s="371">
        <v>0</v>
      </c>
      <c r="BO30" s="370">
        <v>230</v>
      </c>
      <c r="BP30" s="371">
        <v>2</v>
      </c>
      <c r="BQ30" s="371">
        <v>0</v>
      </c>
      <c r="BR30" s="371">
        <v>0</v>
      </c>
      <c r="BS30" s="371">
        <v>0</v>
      </c>
      <c r="BT30" s="371">
        <v>1</v>
      </c>
      <c r="BU30" s="371">
        <v>3</v>
      </c>
      <c r="BV30" s="371">
        <v>0</v>
      </c>
      <c r="BW30" s="371">
        <v>0</v>
      </c>
      <c r="BX30" s="371">
        <v>2</v>
      </c>
      <c r="BY30" s="371">
        <v>1</v>
      </c>
      <c r="BZ30" s="371">
        <v>3</v>
      </c>
      <c r="CA30" s="371">
        <v>3</v>
      </c>
      <c r="CB30" s="371">
        <v>7</v>
      </c>
      <c r="CC30" s="371">
        <v>2</v>
      </c>
      <c r="CD30" s="371">
        <v>4</v>
      </c>
      <c r="CE30" s="371">
        <v>22</v>
      </c>
      <c r="CF30" s="371">
        <v>11</v>
      </c>
      <c r="CG30" s="371">
        <v>7</v>
      </c>
      <c r="CH30" s="371">
        <v>9</v>
      </c>
      <c r="CI30" s="371">
        <v>13</v>
      </c>
      <c r="CJ30" s="371">
        <v>18</v>
      </c>
      <c r="CK30" s="371">
        <v>22</v>
      </c>
      <c r="CL30" s="371">
        <v>15</v>
      </c>
      <c r="CM30" s="371">
        <v>12</v>
      </c>
      <c r="CN30" s="371">
        <v>16</v>
      </c>
      <c r="CO30" s="371">
        <v>18</v>
      </c>
      <c r="CP30" s="371">
        <v>9</v>
      </c>
      <c r="CQ30" s="371">
        <v>9</v>
      </c>
      <c r="CR30" s="371">
        <v>21</v>
      </c>
      <c r="CS30" s="371">
        <v>0</v>
      </c>
    </row>
    <row r="31" spans="2:97" hidden="1" x14ac:dyDescent="0.2">
      <c r="B31" s="369" t="s">
        <v>233</v>
      </c>
      <c r="C31" s="370">
        <v>821</v>
      </c>
      <c r="D31" s="371">
        <v>0</v>
      </c>
      <c r="E31" s="371">
        <v>0</v>
      </c>
      <c r="F31" s="371">
        <v>0</v>
      </c>
      <c r="G31" s="371">
        <v>1</v>
      </c>
      <c r="H31" s="371">
        <v>0</v>
      </c>
      <c r="I31" s="371">
        <v>1</v>
      </c>
      <c r="J31" s="371">
        <v>1</v>
      </c>
      <c r="K31" s="371">
        <v>0</v>
      </c>
      <c r="L31" s="371">
        <v>2</v>
      </c>
      <c r="M31" s="371">
        <v>3</v>
      </c>
      <c r="N31" s="371">
        <v>6</v>
      </c>
      <c r="O31" s="371">
        <v>4</v>
      </c>
      <c r="P31" s="371">
        <v>8</v>
      </c>
      <c r="Q31" s="371">
        <v>9</v>
      </c>
      <c r="R31" s="371">
        <v>8</v>
      </c>
      <c r="S31" s="371">
        <v>39</v>
      </c>
      <c r="T31" s="371">
        <v>47</v>
      </c>
      <c r="U31" s="371">
        <v>48</v>
      </c>
      <c r="V31" s="371">
        <v>65</v>
      </c>
      <c r="W31" s="371">
        <v>66</v>
      </c>
      <c r="X31" s="371">
        <v>52</v>
      </c>
      <c r="Y31" s="371">
        <v>60</v>
      </c>
      <c r="Z31" s="371">
        <v>54</v>
      </c>
      <c r="AA31" s="371">
        <v>65</v>
      </c>
      <c r="AB31" s="371">
        <v>80</v>
      </c>
      <c r="AC31" s="371">
        <v>52</v>
      </c>
      <c r="AD31" s="371">
        <v>51</v>
      </c>
      <c r="AE31" s="371">
        <v>46</v>
      </c>
      <c r="AF31" s="371">
        <v>52</v>
      </c>
      <c r="AG31" s="371">
        <v>1</v>
      </c>
      <c r="AI31" s="370">
        <v>413</v>
      </c>
      <c r="AJ31" s="371">
        <v>0</v>
      </c>
      <c r="AK31" s="371">
        <v>0</v>
      </c>
      <c r="AL31" s="371">
        <v>0</v>
      </c>
      <c r="AM31" s="371">
        <v>0</v>
      </c>
      <c r="AN31" s="371">
        <v>0</v>
      </c>
      <c r="AO31" s="371">
        <v>0</v>
      </c>
      <c r="AP31" s="371">
        <v>0</v>
      </c>
      <c r="AQ31" s="371">
        <v>0</v>
      </c>
      <c r="AR31" s="371">
        <v>1</v>
      </c>
      <c r="AS31" s="371">
        <v>1</v>
      </c>
      <c r="AT31" s="371">
        <v>1</v>
      </c>
      <c r="AU31" s="371">
        <v>1</v>
      </c>
      <c r="AV31" s="371">
        <v>4</v>
      </c>
      <c r="AW31" s="371">
        <v>3</v>
      </c>
      <c r="AX31" s="371">
        <v>3</v>
      </c>
      <c r="AY31" s="371">
        <v>19</v>
      </c>
      <c r="AZ31" s="371">
        <v>29</v>
      </c>
      <c r="BA31" s="371">
        <v>29</v>
      </c>
      <c r="BB31" s="371">
        <v>38</v>
      </c>
      <c r="BC31" s="371">
        <v>29</v>
      </c>
      <c r="BD31" s="371">
        <v>28</v>
      </c>
      <c r="BE31" s="371">
        <v>28</v>
      </c>
      <c r="BF31" s="371">
        <v>25</v>
      </c>
      <c r="BG31" s="371">
        <v>38</v>
      </c>
      <c r="BH31" s="371">
        <v>46</v>
      </c>
      <c r="BI31" s="371">
        <v>22</v>
      </c>
      <c r="BJ31" s="371">
        <v>23</v>
      </c>
      <c r="BK31" s="371">
        <v>23</v>
      </c>
      <c r="BL31" s="371">
        <v>21</v>
      </c>
      <c r="BM31" s="371">
        <v>1</v>
      </c>
      <c r="BO31" s="370">
        <v>408</v>
      </c>
      <c r="BP31" s="371">
        <v>0</v>
      </c>
      <c r="BQ31" s="371">
        <v>0</v>
      </c>
      <c r="BR31" s="371">
        <v>0</v>
      </c>
      <c r="BS31" s="371">
        <v>1</v>
      </c>
      <c r="BT31" s="371">
        <v>0</v>
      </c>
      <c r="BU31" s="371">
        <v>1</v>
      </c>
      <c r="BV31" s="371">
        <v>1</v>
      </c>
      <c r="BW31" s="371">
        <v>0</v>
      </c>
      <c r="BX31" s="371">
        <v>1</v>
      </c>
      <c r="BY31" s="371">
        <v>2</v>
      </c>
      <c r="BZ31" s="371">
        <v>5</v>
      </c>
      <c r="CA31" s="371">
        <v>3</v>
      </c>
      <c r="CB31" s="371">
        <v>4</v>
      </c>
      <c r="CC31" s="371">
        <v>6</v>
      </c>
      <c r="CD31" s="371">
        <v>5</v>
      </c>
      <c r="CE31" s="371">
        <v>20</v>
      </c>
      <c r="CF31" s="371">
        <v>18</v>
      </c>
      <c r="CG31" s="371">
        <v>19</v>
      </c>
      <c r="CH31" s="371">
        <v>27</v>
      </c>
      <c r="CI31" s="371">
        <v>37</v>
      </c>
      <c r="CJ31" s="371">
        <v>24</v>
      </c>
      <c r="CK31" s="371">
        <v>32</v>
      </c>
      <c r="CL31" s="371">
        <v>29</v>
      </c>
      <c r="CM31" s="371">
        <v>27</v>
      </c>
      <c r="CN31" s="371">
        <v>34</v>
      </c>
      <c r="CO31" s="371">
        <v>30</v>
      </c>
      <c r="CP31" s="371">
        <v>28</v>
      </c>
      <c r="CQ31" s="371">
        <v>23</v>
      </c>
      <c r="CR31" s="371">
        <v>31</v>
      </c>
      <c r="CS31" s="371">
        <v>0</v>
      </c>
    </row>
    <row r="32" spans="2:97" hidden="1" x14ac:dyDescent="0.2">
      <c r="B32" s="372" t="s">
        <v>234</v>
      </c>
      <c r="C32" s="373">
        <v>19235</v>
      </c>
      <c r="D32" s="373">
        <v>75</v>
      </c>
      <c r="E32" s="373">
        <v>110</v>
      </c>
      <c r="F32" s="373">
        <v>119</v>
      </c>
      <c r="G32" s="373">
        <v>163</v>
      </c>
      <c r="H32" s="373">
        <v>149</v>
      </c>
      <c r="I32" s="373">
        <v>115</v>
      </c>
      <c r="J32" s="373">
        <v>134</v>
      </c>
      <c r="K32" s="373">
        <v>210</v>
      </c>
      <c r="L32" s="373">
        <v>260</v>
      </c>
      <c r="M32" s="373">
        <v>263</v>
      </c>
      <c r="N32" s="373">
        <v>283</v>
      </c>
      <c r="O32" s="373">
        <v>262</v>
      </c>
      <c r="P32" s="373">
        <v>271</v>
      </c>
      <c r="Q32" s="373">
        <v>274</v>
      </c>
      <c r="R32" s="373">
        <v>259</v>
      </c>
      <c r="S32" s="373">
        <v>1288</v>
      </c>
      <c r="T32" s="373">
        <v>1206</v>
      </c>
      <c r="U32" s="373">
        <v>1361</v>
      </c>
      <c r="V32" s="373">
        <v>1434</v>
      </c>
      <c r="W32" s="373">
        <v>1337</v>
      </c>
      <c r="X32" s="373">
        <v>1271</v>
      </c>
      <c r="Y32" s="373">
        <v>1242</v>
      </c>
      <c r="Z32" s="373">
        <v>1190</v>
      </c>
      <c r="AA32" s="373">
        <v>1265</v>
      </c>
      <c r="AB32" s="373">
        <v>1299</v>
      </c>
      <c r="AC32" s="373">
        <v>1101</v>
      </c>
      <c r="AD32" s="373">
        <v>835</v>
      </c>
      <c r="AE32" s="373">
        <v>627</v>
      </c>
      <c r="AF32" s="373">
        <v>823</v>
      </c>
      <c r="AG32" s="373">
        <v>9</v>
      </c>
      <c r="AI32" s="373">
        <v>9241</v>
      </c>
      <c r="AJ32" s="373">
        <v>40</v>
      </c>
      <c r="AK32" s="373">
        <v>54</v>
      </c>
      <c r="AL32" s="373">
        <v>65</v>
      </c>
      <c r="AM32" s="373">
        <v>72</v>
      </c>
      <c r="AN32" s="373">
        <v>70</v>
      </c>
      <c r="AO32" s="373">
        <v>45</v>
      </c>
      <c r="AP32" s="373">
        <v>74</v>
      </c>
      <c r="AQ32" s="373">
        <v>103</v>
      </c>
      <c r="AR32" s="373">
        <v>140</v>
      </c>
      <c r="AS32" s="373">
        <v>134</v>
      </c>
      <c r="AT32" s="373">
        <v>137</v>
      </c>
      <c r="AU32" s="373">
        <v>117</v>
      </c>
      <c r="AV32" s="373">
        <v>127</v>
      </c>
      <c r="AW32" s="373">
        <v>153</v>
      </c>
      <c r="AX32" s="373">
        <v>129</v>
      </c>
      <c r="AY32" s="373">
        <v>673</v>
      </c>
      <c r="AZ32" s="373">
        <v>614</v>
      </c>
      <c r="BA32" s="373">
        <v>650</v>
      </c>
      <c r="BB32" s="373">
        <v>660</v>
      </c>
      <c r="BC32" s="373">
        <v>626</v>
      </c>
      <c r="BD32" s="373">
        <v>613</v>
      </c>
      <c r="BE32" s="373">
        <v>552</v>
      </c>
      <c r="BF32" s="373">
        <v>583</v>
      </c>
      <c r="BG32" s="373">
        <v>611</v>
      </c>
      <c r="BH32" s="373">
        <v>632</v>
      </c>
      <c r="BI32" s="373">
        <v>528</v>
      </c>
      <c r="BJ32" s="373">
        <v>404</v>
      </c>
      <c r="BK32" s="373">
        <v>303</v>
      </c>
      <c r="BL32" s="373">
        <v>327</v>
      </c>
      <c r="BM32" s="373">
        <v>5</v>
      </c>
      <c r="BO32" s="373">
        <v>9994</v>
      </c>
      <c r="BP32" s="373">
        <v>35</v>
      </c>
      <c r="BQ32" s="373">
        <v>56</v>
      </c>
      <c r="BR32" s="373">
        <v>54</v>
      </c>
      <c r="BS32" s="373">
        <v>91</v>
      </c>
      <c r="BT32" s="373">
        <v>79</v>
      </c>
      <c r="BU32" s="373">
        <v>70</v>
      </c>
      <c r="BV32" s="373">
        <v>60</v>
      </c>
      <c r="BW32" s="373">
        <v>107</v>
      </c>
      <c r="BX32" s="373">
        <v>120</v>
      </c>
      <c r="BY32" s="373">
        <v>129</v>
      </c>
      <c r="BZ32" s="373">
        <v>146</v>
      </c>
      <c r="CA32" s="373">
        <v>145</v>
      </c>
      <c r="CB32" s="373">
        <v>144</v>
      </c>
      <c r="CC32" s="373">
        <v>121</v>
      </c>
      <c r="CD32" s="373">
        <v>130</v>
      </c>
      <c r="CE32" s="373">
        <v>615</v>
      </c>
      <c r="CF32" s="373">
        <v>592</v>
      </c>
      <c r="CG32" s="373">
        <v>711</v>
      </c>
      <c r="CH32" s="373">
        <v>774</v>
      </c>
      <c r="CI32" s="373">
        <v>711</v>
      </c>
      <c r="CJ32" s="373">
        <v>658</v>
      </c>
      <c r="CK32" s="373">
        <v>690</v>
      </c>
      <c r="CL32" s="373">
        <v>607</v>
      </c>
      <c r="CM32" s="373">
        <v>654</v>
      </c>
      <c r="CN32" s="373">
        <v>667</v>
      </c>
      <c r="CO32" s="373">
        <v>573</v>
      </c>
      <c r="CP32" s="373">
        <v>431</v>
      </c>
      <c r="CQ32" s="373">
        <v>324</v>
      </c>
      <c r="CR32" s="373">
        <v>496</v>
      </c>
      <c r="CS32" s="373">
        <v>4</v>
      </c>
    </row>
    <row r="33" spans="2:97" ht="6.75" customHeight="1" x14ac:dyDescent="0.2">
      <c r="B33" s="369"/>
      <c r="C33" s="370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I33" s="370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O33" s="370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</row>
    <row r="34" spans="2:97" x14ac:dyDescent="0.2">
      <c r="B34" s="369" t="s">
        <v>235</v>
      </c>
      <c r="C34" s="370">
        <v>37740.906000000003</v>
      </c>
      <c r="D34" s="371">
        <v>73.037999999999997</v>
      </c>
      <c r="E34" s="371">
        <v>122.38800000000001</v>
      </c>
      <c r="F34" s="371">
        <v>126.336</v>
      </c>
      <c r="G34" s="371">
        <v>195.42599999999999</v>
      </c>
      <c r="H34" s="371">
        <v>81.920999999999992</v>
      </c>
      <c r="I34" s="371">
        <v>75.998999999999995</v>
      </c>
      <c r="J34" s="371">
        <v>66.128999999999991</v>
      </c>
      <c r="K34" s="371">
        <v>239.84100000000001</v>
      </c>
      <c r="L34" s="371">
        <v>333.60599999999999</v>
      </c>
      <c r="M34" s="371">
        <v>305.97000000000003</v>
      </c>
      <c r="N34" s="371">
        <v>305.97000000000003</v>
      </c>
      <c r="O34" s="371">
        <v>369.13800000000003</v>
      </c>
      <c r="P34" s="371">
        <v>319.78800000000001</v>
      </c>
      <c r="Q34" s="371">
        <v>360.255</v>
      </c>
      <c r="R34" s="371">
        <v>347.42399999999998</v>
      </c>
      <c r="S34" s="371">
        <v>1829.8980000000001</v>
      </c>
      <c r="T34" s="371">
        <v>2191.14</v>
      </c>
      <c r="U34" s="371">
        <v>2643.1859999999997</v>
      </c>
      <c r="V34" s="371">
        <v>2940.2730000000001</v>
      </c>
      <c r="W34" s="371">
        <v>2578.0439999999999</v>
      </c>
      <c r="X34" s="371">
        <v>2468.4870000000001</v>
      </c>
      <c r="Y34" s="371">
        <v>2270.1000000000004</v>
      </c>
      <c r="Z34" s="371">
        <v>2501.058</v>
      </c>
      <c r="AA34" s="371">
        <v>2792.223</v>
      </c>
      <c r="AB34" s="371">
        <v>2947.1819999999998</v>
      </c>
      <c r="AC34" s="371">
        <v>2580.018</v>
      </c>
      <c r="AD34" s="371">
        <v>2057.895</v>
      </c>
      <c r="AE34" s="371">
        <v>1826.9369999999999</v>
      </c>
      <c r="AF34" s="371">
        <v>2731.029</v>
      </c>
      <c r="AG34" s="371">
        <v>60.206999999999994</v>
      </c>
      <c r="AI34" s="370">
        <v>17260.655999999999</v>
      </c>
      <c r="AJ34" s="371">
        <v>35.531999999999996</v>
      </c>
      <c r="AK34" s="371">
        <v>65.141999999999996</v>
      </c>
      <c r="AL34" s="371">
        <v>62.180999999999997</v>
      </c>
      <c r="AM34" s="371">
        <v>104.622</v>
      </c>
      <c r="AN34" s="371">
        <v>47.375999999999998</v>
      </c>
      <c r="AO34" s="371">
        <v>42.441000000000003</v>
      </c>
      <c r="AP34" s="371">
        <v>30.597000000000001</v>
      </c>
      <c r="AQ34" s="371">
        <v>124.36199999999999</v>
      </c>
      <c r="AR34" s="371">
        <v>170.751</v>
      </c>
      <c r="AS34" s="371">
        <v>161.86799999999999</v>
      </c>
      <c r="AT34" s="371">
        <v>159.89400000000001</v>
      </c>
      <c r="AU34" s="371">
        <v>192.465</v>
      </c>
      <c r="AV34" s="371">
        <v>148.05000000000001</v>
      </c>
      <c r="AW34" s="371">
        <v>183.58199999999999</v>
      </c>
      <c r="AX34" s="371">
        <v>181.608</v>
      </c>
      <c r="AY34" s="371">
        <v>939.62400000000002</v>
      </c>
      <c r="AZ34" s="371">
        <v>1112.3489999999999</v>
      </c>
      <c r="BA34" s="371">
        <v>1345.2809999999999</v>
      </c>
      <c r="BB34" s="371">
        <v>1476.5519999999999</v>
      </c>
      <c r="BC34" s="371">
        <v>1252.5029999999999</v>
      </c>
      <c r="BD34" s="371">
        <v>1136.037</v>
      </c>
      <c r="BE34" s="371">
        <v>1074.8430000000001</v>
      </c>
      <c r="BF34" s="371">
        <v>1128.1410000000001</v>
      </c>
      <c r="BG34" s="371">
        <v>1236.711</v>
      </c>
      <c r="BH34" s="371">
        <v>1286.0609999999999</v>
      </c>
      <c r="BI34" s="371">
        <v>1115.31</v>
      </c>
      <c r="BJ34" s="371">
        <v>859.67700000000002</v>
      </c>
      <c r="BK34" s="371">
        <v>686.952</v>
      </c>
      <c r="BL34" s="371">
        <v>859.67700000000002</v>
      </c>
      <c r="BM34" s="371">
        <v>40.466999999999999</v>
      </c>
      <c r="BO34" s="370">
        <v>20480.25</v>
      </c>
      <c r="BP34" s="371">
        <v>37.506</v>
      </c>
      <c r="BQ34" s="371">
        <v>57.246000000000002</v>
      </c>
      <c r="BR34" s="371">
        <v>64.155000000000001</v>
      </c>
      <c r="BS34" s="371">
        <v>90.804000000000002</v>
      </c>
      <c r="BT34" s="371">
        <v>34.545000000000002</v>
      </c>
      <c r="BU34" s="371">
        <v>33.558</v>
      </c>
      <c r="BV34" s="371">
        <v>35.531999999999996</v>
      </c>
      <c r="BW34" s="371">
        <v>115.479</v>
      </c>
      <c r="BX34" s="371">
        <v>162.85499999999999</v>
      </c>
      <c r="BY34" s="371">
        <v>144.102</v>
      </c>
      <c r="BZ34" s="371">
        <v>146.07599999999999</v>
      </c>
      <c r="CA34" s="371">
        <v>176.673</v>
      </c>
      <c r="CB34" s="371">
        <v>171.738</v>
      </c>
      <c r="CC34" s="371">
        <v>176.673</v>
      </c>
      <c r="CD34" s="371">
        <v>165.816</v>
      </c>
      <c r="CE34" s="371">
        <v>890.274</v>
      </c>
      <c r="CF34" s="371">
        <v>1078.7909999999999</v>
      </c>
      <c r="CG34" s="371">
        <v>1297.905</v>
      </c>
      <c r="CH34" s="371">
        <v>1463.721</v>
      </c>
      <c r="CI34" s="371">
        <v>1325.5409999999999</v>
      </c>
      <c r="CJ34" s="371">
        <v>1332.45</v>
      </c>
      <c r="CK34" s="371">
        <v>1195.2570000000001</v>
      </c>
      <c r="CL34" s="371">
        <v>1372.9169999999999</v>
      </c>
      <c r="CM34" s="371">
        <v>1555.5119999999999</v>
      </c>
      <c r="CN34" s="371">
        <v>1661.1209999999999</v>
      </c>
      <c r="CO34" s="371">
        <v>1464.7080000000001</v>
      </c>
      <c r="CP34" s="371">
        <v>1198.2180000000001</v>
      </c>
      <c r="CQ34" s="371">
        <v>1139.9849999999999</v>
      </c>
      <c r="CR34" s="371">
        <v>1871.3520000000001</v>
      </c>
      <c r="CS34" s="371">
        <v>19.739999999999998</v>
      </c>
    </row>
    <row r="35" spans="2:97" x14ac:dyDescent="0.2">
      <c r="B35" s="369" t="s">
        <v>236</v>
      </c>
      <c r="C35" s="370">
        <v>23185</v>
      </c>
      <c r="D35" s="371">
        <v>57</v>
      </c>
      <c r="E35" s="371">
        <v>18</v>
      </c>
      <c r="F35" s="371">
        <v>31</v>
      </c>
      <c r="G35" s="371">
        <v>56</v>
      </c>
      <c r="H35" s="371">
        <v>111</v>
      </c>
      <c r="I35" s="371">
        <v>89</v>
      </c>
      <c r="J35" s="371">
        <v>110</v>
      </c>
      <c r="K35" s="371">
        <v>230</v>
      </c>
      <c r="L35" s="371">
        <v>304</v>
      </c>
      <c r="M35" s="371">
        <v>320</v>
      </c>
      <c r="N35" s="371">
        <v>295</v>
      </c>
      <c r="O35" s="371">
        <v>259</v>
      </c>
      <c r="P35" s="371">
        <v>304</v>
      </c>
      <c r="Q35" s="371">
        <v>281</v>
      </c>
      <c r="R35" s="371">
        <v>310</v>
      </c>
      <c r="S35" s="371">
        <v>1565</v>
      </c>
      <c r="T35" s="371">
        <v>1537</v>
      </c>
      <c r="U35" s="371">
        <v>1828</v>
      </c>
      <c r="V35" s="371">
        <v>1848</v>
      </c>
      <c r="W35" s="371">
        <v>1672</v>
      </c>
      <c r="X35" s="371">
        <v>1545</v>
      </c>
      <c r="Y35" s="371">
        <v>1465</v>
      </c>
      <c r="Z35" s="371">
        <v>1454</v>
      </c>
      <c r="AA35" s="371">
        <v>1647</v>
      </c>
      <c r="AB35" s="371">
        <v>1557</v>
      </c>
      <c r="AC35" s="371">
        <v>1367</v>
      </c>
      <c r="AD35" s="371">
        <v>973</v>
      </c>
      <c r="AE35" s="371">
        <v>885</v>
      </c>
      <c r="AF35" s="371">
        <v>1053</v>
      </c>
      <c r="AG35" s="371">
        <v>14</v>
      </c>
      <c r="AI35" s="370">
        <v>10623</v>
      </c>
      <c r="AJ35" s="371">
        <v>24</v>
      </c>
      <c r="AK35" s="371">
        <v>11</v>
      </c>
      <c r="AL35" s="371">
        <v>12</v>
      </c>
      <c r="AM35" s="371">
        <v>34</v>
      </c>
      <c r="AN35" s="371">
        <v>56</v>
      </c>
      <c r="AO35" s="371">
        <v>39</v>
      </c>
      <c r="AP35" s="371">
        <v>49</v>
      </c>
      <c r="AQ35" s="371">
        <v>109</v>
      </c>
      <c r="AR35" s="371">
        <v>157</v>
      </c>
      <c r="AS35" s="371">
        <v>156</v>
      </c>
      <c r="AT35" s="371">
        <v>131</v>
      </c>
      <c r="AU35" s="371">
        <v>141</v>
      </c>
      <c r="AV35" s="371">
        <v>158</v>
      </c>
      <c r="AW35" s="371">
        <v>160</v>
      </c>
      <c r="AX35" s="371">
        <v>151</v>
      </c>
      <c r="AY35" s="371">
        <v>832</v>
      </c>
      <c r="AZ35" s="371">
        <v>783</v>
      </c>
      <c r="BA35" s="371">
        <v>898</v>
      </c>
      <c r="BB35" s="371">
        <v>900</v>
      </c>
      <c r="BC35" s="371">
        <v>724</v>
      </c>
      <c r="BD35" s="371">
        <v>746</v>
      </c>
      <c r="BE35" s="371">
        <v>623</v>
      </c>
      <c r="BF35" s="371">
        <v>647</v>
      </c>
      <c r="BG35" s="371">
        <v>741</v>
      </c>
      <c r="BH35" s="371">
        <v>641</v>
      </c>
      <c r="BI35" s="371">
        <v>583</v>
      </c>
      <c r="BJ35" s="371">
        <v>418</v>
      </c>
      <c r="BK35" s="371">
        <v>368</v>
      </c>
      <c r="BL35" s="371">
        <v>326</v>
      </c>
      <c r="BM35" s="371">
        <v>5</v>
      </c>
      <c r="BO35" s="370">
        <v>12562</v>
      </c>
      <c r="BP35" s="371">
        <v>33</v>
      </c>
      <c r="BQ35" s="371">
        <v>7</v>
      </c>
      <c r="BR35" s="371">
        <v>19</v>
      </c>
      <c r="BS35" s="371">
        <v>22</v>
      </c>
      <c r="BT35" s="371">
        <v>55</v>
      </c>
      <c r="BU35" s="371">
        <v>50</v>
      </c>
      <c r="BV35" s="371">
        <v>61</v>
      </c>
      <c r="BW35" s="371">
        <v>121</v>
      </c>
      <c r="BX35" s="371">
        <v>147</v>
      </c>
      <c r="BY35" s="371">
        <v>164</v>
      </c>
      <c r="BZ35" s="371">
        <v>164</v>
      </c>
      <c r="CA35" s="371">
        <v>118</v>
      </c>
      <c r="CB35" s="371">
        <v>146</v>
      </c>
      <c r="CC35" s="371">
        <v>121</v>
      </c>
      <c r="CD35" s="371">
        <v>159</v>
      </c>
      <c r="CE35" s="371">
        <v>733</v>
      </c>
      <c r="CF35" s="371">
        <v>754</v>
      </c>
      <c r="CG35" s="371">
        <v>930</v>
      </c>
      <c r="CH35" s="371">
        <v>948</v>
      </c>
      <c r="CI35" s="371">
        <v>948</v>
      </c>
      <c r="CJ35" s="371">
        <v>799</v>
      </c>
      <c r="CK35" s="371">
        <v>842</v>
      </c>
      <c r="CL35" s="371">
        <v>807</v>
      </c>
      <c r="CM35" s="371">
        <v>906</v>
      </c>
      <c r="CN35" s="371">
        <v>916</v>
      </c>
      <c r="CO35" s="371">
        <v>784</v>
      </c>
      <c r="CP35" s="371">
        <v>555</v>
      </c>
      <c r="CQ35" s="371">
        <v>517</v>
      </c>
      <c r="CR35" s="371">
        <v>727</v>
      </c>
      <c r="CS35" s="371">
        <v>9</v>
      </c>
    </row>
    <row r="36" spans="2:97" x14ac:dyDescent="0.2">
      <c r="B36" s="369" t="s">
        <v>237</v>
      </c>
      <c r="C36" s="370">
        <v>18509</v>
      </c>
      <c r="D36" s="371">
        <v>87</v>
      </c>
      <c r="E36" s="371">
        <v>108</v>
      </c>
      <c r="F36" s="371">
        <v>117</v>
      </c>
      <c r="G36" s="371">
        <v>183</v>
      </c>
      <c r="H36" s="371">
        <v>207</v>
      </c>
      <c r="I36" s="371">
        <v>215</v>
      </c>
      <c r="J36" s="371">
        <v>118</v>
      </c>
      <c r="K36" s="371">
        <v>213</v>
      </c>
      <c r="L36" s="371">
        <v>275</v>
      </c>
      <c r="M36" s="371">
        <v>285</v>
      </c>
      <c r="N36" s="371">
        <v>283</v>
      </c>
      <c r="O36" s="371">
        <v>263</v>
      </c>
      <c r="P36" s="371">
        <v>231</v>
      </c>
      <c r="Q36" s="371">
        <v>299</v>
      </c>
      <c r="R36" s="371">
        <v>261</v>
      </c>
      <c r="S36" s="371">
        <v>1190</v>
      </c>
      <c r="T36" s="371">
        <v>1321</v>
      </c>
      <c r="U36" s="371">
        <v>1584</v>
      </c>
      <c r="V36" s="371">
        <v>1597</v>
      </c>
      <c r="W36" s="371">
        <v>1349</v>
      </c>
      <c r="X36" s="371">
        <v>1217</v>
      </c>
      <c r="Y36" s="371">
        <v>1071</v>
      </c>
      <c r="Z36" s="371">
        <v>1084</v>
      </c>
      <c r="AA36" s="371">
        <v>1154</v>
      </c>
      <c r="AB36" s="371">
        <v>1090</v>
      </c>
      <c r="AC36" s="371">
        <v>855</v>
      </c>
      <c r="AD36" s="371">
        <v>684</v>
      </c>
      <c r="AE36" s="371">
        <v>505</v>
      </c>
      <c r="AF36" s="371">
        <v>652</v>
      </c>
      <c r="AG36" s="371">
        <v>11</v>
      </c>
      <c r="AI36" s="370">
        <v>8746</v>
      </c>
      <c r="AJ36" s="371">
        <v>43</v>
      </c>
      <c r="AK36" s="371">
        <v>48</v>
      </c>
      <c r="AL36" s="371">
        <v>50</v>
      </c>
      <c r="AM36" s="371">
        <v>93</v>
      </c>
      <c r="AN36" s="371">
        <v>104</v>
      </c>
      <c r="AO36" s="371">
        <v>112</v>
      </c>
      <c r="AP36" s="371">
        <v>68</v>
      </c>
      <c r="AQ36" s="371">
        <v>105</v>
      </c>
      <c r="AR36" s="371">
        <v>130</v>
      </c>
      <c r="AS36" s="371">
        <v>139</v>
      </c>
      <c r="AT36" s="371">
        <v>156</v>
      </c>
      <c r="AU36" s="371">
        <v>127</v>
      </c>
      <c r="AV36" s="371">
        <v>107</v>
      </c>
      <c r="AW36" s="371">
        <v>160</v>
      </c>
      <c r="AX36" s="371">
        <v>130</v>
      </c>
      <c r="AY36" s="371">
        <v>629</v>
      </c>
      <c r="AZ36" s="371">
        <v>637</v>
      </c>
      <c r="BA36" s="371">
        <v>755</v>
      </c>
      <c r="BB36" s="371">
        <v>765</v>
      </c>
      <c r="BC36" s="371">
        <v>641</v>
      </c>
      <c r="BD36" s="371">
        <v>550</v>
      </c>
      <c r="BE36" s="371">
        <v>467</v>
      </c>
      <c r="BF36" s="371">
        <v>516</v>
      </c>
      <c r="BG36" s="371">
        <v>536</v>
      </c>
      <c r="BH36" s="371">
        <v>482</v>
      </c>
      <c r="BI36" s="371">
        <v>384</v>
      </c>
      <c r="BJ36" s="371">
        <v>319</v>
      </c>
      <c r="BK36" s="371">
        <v>237</v>
      </c>
      <c r="BL36" s="371">
        <v>250</v>
      </c>
      <c r="BM36" s="371">
        <v>6</v>
      </c>
      <c r="BO36" s="370">
        <v>9763</v>
      </c>
      <c r="BP36" s="371">
        <v>44</v>
      </c>
      <c r="BQ36" s="371">
        <v>60</v>
      </c>
      <c r="BR36" s="371">
        <v>67</v>
      </c>
      <c r="BS36" s="371">
        <v>90</v>
      </c>
      <c r="BT36" s="371">
        <v>103</v>
      </c>
      <c r="BU36" s="371">
        <v>103</v>
      </c>
      <c r="BV36" s="371">
        <v>50</v>
      </c>
      <c r="BW36" s="371">
        <v>108</v>
      </c>
      <c r="BX36" s="371">
        <v>145</v>
      </c>
      <c r="BY36" s="371">
        <v>146</v>
      </c>
      <c r="BZ36" s="371">
        <v>127</v>
      </c>
      <c r="CA36" s="371">
        <v>136</v>
      </c>
      <c r="CB36" s="371">
        <v>124</v>
      </c>
      <c r="CC36" s="371">
        <v>139</v>
      </c>
      <c r="CD36" s="371">
        <v>131</v>
      </c>
      <c r="CE36" s="371">
        <v>561</v>
      </c>
      <c r="CF36" s="371">
        <v>684</v>
      </c>
      <c r="CG36" s="371">
        <v>829</v>
      </c>
      <c r="CH36" s="371">
        <v>832</v>
      </c>
      <c r="CI36" s="371">
        <v>708</v>
      </c>
      <c r="CJ36" s="371">
        <v>667</v>
      </c>
      <c r="CK36" s="371">
        <v>604</v>
      </c>
      <c r="CL36" s="371">
        <v>568</v>
      </c>
      <c r="CM36" s="371">
        <v>618</v>
      </c>
      <c r="CN36" s="371">
        <v>608</v>
      </c>
      <c r="CO36" s="371">
        <v>471</v>
      </c>
      <c r="CP36" s="371">
        <v>365</v>
      </c>
      <c r="CQ36" s="371">
        <v>268</v>
      </c>
      <c r="CR36" s="371">
        <v>402</v>
      </c>
      <c r="CS36" s="371">
        <v>5</v>
      </c>
    </row>
    <row r="37" spans="2:97" x14ac:dyDescent="0.2">
      <c r="B37" s="369" t="s">
        <v>238</v>
      </c>
      <c r="C37" s="370">
        <v>18492.717600000004</v>
      </c>
      <c r="D37" s="371">
        <v>107.6032</v>
      </c>
      <c r="E37" s="371">
        <v>76.746399999999994</v>
      </c>
      <c r="F37" s="371">
        <v>120.2624</v>
      </c>
      <c r="G37" s="371">
        <v>140.83359999999999</v>
      </c>
      <c r="H37" s="371">
        <v>106.02080000000001</v>
      </c>
      <c r="I37" s="371">
        <v>117.8888</v>
      </c>
      <c r="J37" s="371">
        <v>93.361599999999996</v>
      </c>
      <c r="K37" s="371">
        <v>222.3272</v>
      </c>
      <c r="L37" s="371">
        <v>283.24959999999999</v>
      </c>
      <c r="M37" s="371">
        <v>299.0736</v>
      </c>
      <c r="N37" s="371">
        <v>280.87599999999998</v>
      </c>
      <c r="O37" s="371">
        <v>301.44719999999995</v>
      </c>
      <c r="P37" s="371">
        <v>263.46960000000001</v>
      </c>
      <c r="Q37" s="371">
        <v>276.91999999999996</v>
      </c>
      <c r="R37" s="371">
        <v>318.85360000000003</v>
      </c>
      <c r="S37" s="371">
        <v>1272.2496000000001</v>
      </c>
      <c r="T37" s="371">
        <v>1341.8751999999999</v>
      </c>
      <c r="U37" s="371">
        <v>1476.3792000000001</v>
      </c>
      <c r="V37" s="371">
        <v>1534.1368</v>
      </c>
      <c r="W37" s="371">
        <v>1350.5784000000001</v>
      </c>
      <c r="X37" s="371">
        <v>1224.7775999999999</v>
      </c>
      <c r="Y37" s="371">
        <v>1094.2296000000001</v>
      </c>
      <c r="Z37" s="371">
        <v>1079.1967999999999</v>
      </c>
      <c r="AA37" s="371">
        <v>1143.2840000000001</v>
      </c>
      <c r="AB37" s="371">
        <v>1090.2736</v>
      </c>
      <c r="AC37" s="371">
        <v>895.63840000000005</v>
      </c>
      <c r="AD37" s="371">
        <v>690.71759999999995</v>
      </c>
      <c r="AE37" s="371">
        <v>563.33439999999996</v>
      </c>
      <c r="AF37" s="371">
        <v>720.78320000000008</v>
      </c>
      <c r="AG37" s="371">
        <v>6.3296000000000001</v>
      </c>
      <c r="AI37" s="370">
        <v>8415.2032000000017</v>
      </c>
      <c r="AJ37" s="371">
        <v>64.878399999999999</v>
      </c>
      <c r="AK37" s="371">
        <v>45.098399999999998</v>
      </c>
      <c r="AL37" s="371">
        <v>64.087199999999996</v>
      </c>
      <c r="AM37" s="371">
        <v>75.955200000000005</v>
      </c>
      <c r="AN37" s="371">
        <v>59.34</v>
      </c>
      <c r="AO37" s="371">
        <v>57.757600000000004</v>
      </c>
      <c r="AP37" s="371">
        <v>45.098399999999998</v>
      </c>
      <c r="AQ37" s="371">
        <v>122.636</v>
      </c>
      <c r="AR37" s="371">
        <v>147.95439999999999</v>
      </c>
      <c r="AS37" s="371">
        <v>162.9872</v>
      </c>
      <c r="AT37" s="371">
        <v>132.13040000000001</v>
      </c>
      <c r="AU37" s="371">
        <v>154.28399999999999</v>
      </c>
      <c r="AV37" s="371">
        <v>132.92160000000001</v>
      </c>
      <c r="AW37" s="371">
        <v>148.7456</v>
      </c>
      <c r="AX37" s="371">
        <v>163.7784</v>
      </c>
      <c r="AY37" s="371">
        <v>666.98159999999996</v>
      </c>
      <c r="AZ37" s="371">
        <v>670.93759999999997</v>
      </c>
      <c r="BA37" s="371">
        <v>689.92640000000006</v>
      </c>
      <c r="BB37" s="371">
        <v>656.69600000000003</v>
      </c>
      <c r="BC37" s="371">
        <v>584.69680000000005</v>
      </c>
      <c r="BD37" s="371">
        <v>519.8184</v>
      </c>
      <c r="BE37" s="371">
        <v>468.3904</v>
      </c>
      <c r="BF37" s="371">
        <v>464.43439999999998</v>
      </c>
      <c r="BG37" s="371">
        <v>496.08240000000001</v>
      </c>
      <c r="BH37" s="371">
        <v>477.09359999999998</v>
      </c>
      <c r="BI37" s="371">
        <v>382.94080000000002</v>
      </c>
      <c r="BJ37" s="371">
        <v>299.8648</v>
      </c>
      <c r="BK37" s="371">
        <v>222.3272</v>
      </c>
      <c r="BL37" s="371">
        <v>233.404</v>
      </c>
      <c r="BM37" s="371">
        <v>3.956</v>
      </c>
      <c r="BO37" s="370">
        <v>10077.5144</v>
      </c>
      <c r="BP37" s="371">
        <v>42.724800000000002</v>
      </c>
      <c r="BQ37" s="371">
        <v>31.648</v>
      </c>
      <c r="BR37" s="371">
        <v>56.175200000000004</v>
      </c>
      <c r="BS37" s="371">
        <v>64.878399999999999</v>
      </c>
      <c r="BT37" s="371">
        <v>46.680799999999998</v>
      </c>
      <c r="BU37" s="371">
        <v>60.1312</v>
      </c>
      <c r="BV37" s="371">
        <v>48.263199999999998</v>
      </c>
      <c r="BW37" s="371">
        <v>99.691199999999995</v>
      </c>
      <c r="BX37" s="371">
        <v>135.29519999999999</v>
      </c>
      <c r="BY37" s="371">
        <v>136.0864</v>
      </c>
      <c r="BZ37" s="371">
        <v>148.7456</v>
      </c>
      <c r="CA37" s="371">
        <v>147.16319999999999</v>
      </c>
      <c r="CB37" s="371">
        <v>130.548</v>
      </c>
      <c r="CC37" s="371">
        <v>128.17439999999999</v>
      </c>
      <c r="CD37" s="371">
        <v>155.0752</v>
      </c>
      <c r="CE37" s="371">
        <v>605.26800000000003</v>
      </c>
      <c r="CF37" s="371">
        <v>670.93759999999997</v>
      </c>
      <c r="CG37" s="371">
        <v>786.45280000000002</v>
      </c>
      <c r="CH37" s="371">
        <v>877.44079999999997</v>
      </c>
      <c r="CI37" s="371">
        <v>765.88160000000005</v>
      </c>
      <c r="CJ37" s="371">
        <v>704.95920000000001</v>
      </c>
      <c r="CK37" s="371">
        <v>625.83920000000001</v>
      </c>
      <c r="CL37" s="371">
        <v>614.76239999999996</v>
      </c>
      <c r="CM37" s="371">
        <v>647.20159999999998</v>
      </c>
      <c r="CN37" s="371">
        <v>613.18000000000006</v>
      </c>
      <c r="CO37" s="371">
        <v>512.69759999999997</v>
      </c>
      <c r="CP37" s="371">
        <v>390.8528</v>
      </c>
      <c r="CQ37" s="371">
        <v>341.00720000000001</v>
      </c>
      <c r="CR37" s="371">
        <v>487.37920000000003</v>
      </c>
      <c r="CS37" s="371">
        <v>2.3736000000000002</v>
      </c>
    </row>
    <row r="38" spans="2:97" x14ac:dyDescent="0.2">
      <c r="B38" s="369" t="s">
        <v>122</v>
      </c>
      <c r="C38" s="370">
        <v>18288</v>
      </c>
      <c r="D38" s="371">
        <v>168</v>
      </c>
      <c r="E38" s="371">
        <v>176</v>
      </c>
      <c r="F38" s="371">
        <v>152</v>
      </c>
      <c r="G38" s="371">
        <v>111</v>
      </c>
      <c r="H38" s="371">
        <v>124</v>
      </c>
      <c r="I38" s="371">
        <v>207</v>
      </c>
      <c r="J38" s="371">
        <v>148</v>
      </c>
      <c r="K38" s="371">
        <v>204</v>
      </c>
      <c r="L38" s="371">
        <v>270</v>
      </c>
      <c r="M38" s="371">
        <v>267</v>
      </c>
      <c r="N38" s="371">
        <v>240</v>
      </c>
      <c r="O38" s="371">
        <v>274</v>
      </c>
      <c r="P38" s="371">
        <v>249</v>
      </c>
      <c r="Q38" s="371">
        <v>247</v>
      </c>
      <c r="R38" s="371">
        <v>270</v>
      </c>
      <c r="S38" s="371">
        <v>1290</v>
      </c>
      <c r="T38" s="371">
        <v>1367</v>
      </c>
      <c r="U38" s="371">
        <v>1492</v>
      </c>
      <c r="V38" s="371">
        <v>1514</v>
      </c>
      <c r="W38" s="371">
        <v>1235</v>
      </c>
      <c r="X38" s="371">
        <v>1138</v>
      </c>
      <c r="Y38" s="371">
        <v>1178</v>
      </c>
      <c r="Z38" s="371">
        <v>1197</v>
      </c>
      <c r="AA38" s="371">
        <v>1127</v>
      </c>
      <c r="AB38" s="371">
        <v>1060</v>
      </c>
      <c r="AC38" s="371">
        <v>852</v>
      </c>
      <c r="AD38" s="371">
        <v>699</v>
      </c>
      <c r="AE38" s="371">
        <v>459</v>
      </c>
      <c r="AF38" s="371">
        <v>564</v>
      </c>
      <c r="AG38" s="371">
        <v>9</v>
      </c>
      <c r="AI38" s="370">
        <v>7782</v>
      </c>
      <c r="AJ38" s="371">
        <v>87</v>
      </c>
      <c r="AK38" s="371">
        <v>88</v>
      </c>
      <c r="AL38" s="371">
        <v>76</v>
      </c>
      <c r="AM38" s="371">
        <v>54</v>
      </c>
      <c r="AN38" s="371">
        <v>57</v>
      </c>
      <c r="AO38" s="371">
        <v>112</v>
      </c>
      <c r="AP38" s="371">
        <v>58</v>
      </c>
      <c r="AQ38" s="371">
        <v>113</v>
      </c>
      <c r="AR38" s="371">
        <v>132</v>
      </c>
      <c r="AS38" s="371">
        <v>144</v>
      </c>
      <c r="AT38" s="371">
        <v>112</v>
      </c>
      <c r="AU38" s="371">
        <v>147</v>
      </c>
      <c r="AV38" s="371">
        <v>119</v>
      </c>
      <c r="AW38" s="371">
        <v>116</v>
      </c>
      <c r="AX38" s="371">
        <v>141</v>
      </c>
      <c r="AY38" s="371">
        <v>632</v>
      </c>
      <c r="AZ38" s="371">
        <v>656</v>
      </c>
      <c r="BA38" s="371">
        <v>651</v>
      </c>
      <c r="BB38" s="371">
        <v>600</v>
      </c>
      <c r="BC38" s="371">
        <v>454</v>
      </c>
      <c r="BD38" s="371">
        <v>380</v>
      </c>
      <c r="BE38" s="371">
        <v>455</v>
      </c>
      <c r="BF38" s="371">
        <v>487</v>
      </c>
      <c r="BG38" s="371">
        <v>451</v>
      </c>
      <c r="BH38" s="371">
        <v>446</v>
      </c>
      <c r="BI38" s="371">
        <v>368</v>
      </c>
      <c r="BJ38" s="371">
        <v>282</v>
      </c>
      <c r="BK38" s="371">
        <v>190</v>
      </c>
      <c r="BL38" s="371">
        <v>171</v>
      </c>
      <c r="BM38" s="371">
        <v>3</v>
      </c>
      <c r="BO38" s="370">
        <v>10506</v>
      </c>
      <c r="BP38" s="371">
        <v>81</v>
      </c>
      <c r="BQ38" s="371">
        <v>88</v>
      </c>
      <c r="BR38" s="371">
        <v>76</v>
      </c>
      <c r="BS38" s="371">
        <v>57</v>
      </c>
      <c r="BT38" s="371">
        <v>67</v>
      </c>
      <c r="BU38" s="371">
        <v>95</v>
      </c>
      <c r="BV38" s="371">
        <v>90</v>
      </c>
      <c r="BW38" s="371">
        <v>91</v>
      </c>
      <c r="BX38" s="371">
        <v>138</v>
      </c>
      <c r="BY38" s="371">
        <v>123</v>
      </c>
      <c r="BZ38" s="371">
        <v>128</v>
      </c>
      <c r="CA38" s="371">
        <v>127</v>
      </c>
      <c r="CB38" s="371">
        <v>130</v>
      </c>
      <c r="CC38" s="371">
        <v>131</v>
      </c>
      <c r="CD38" s="371">
        <v>129</v>
      </c>
      <c r="CE38" s="371">
        <v>658</v>
      </c>
      <c r="CF38" s="371">
        <v>711</v>
      </c>
      <c r="CG38" s="371">
        <v>841</v>
      </c>
      <c r="CH38" s="371">
        <v>914</v>
      </c>
      <c r="CI38" s="371">
        <v>781</v>
      </c>
      <c r="CJ38" s="371">
        <v>758</v>
      </c>
      <c r="CK38" s="371">
        <v>723</v>
      </c>
      <c r="CL38" s="371">
        <v>710</v>
      </c>
      <c r="CM38" s="371">
        <v>676</v>
      </c>
      <c r="CN38" s="371">
        <v>614</v>
      </c>
      <c r="CO38" s="371">
        <v>484</v>
      </c>
      <c r="CP38" s="371">
        <v>417</v>
      </c>
      <c r="CQ38" s="371">
        <v>269</v>
      </c>
      <c r="CR38" s="371">
        <v>393</v>
      </c>
      <c r="CS38" s="371">
        <v>6</v>
      </c>
    </row>
    <row r="39" spans="2:97" x14ac:dyDescent="0.2">
      <c r="B39" s="369" t="s">
        <v>124</v>
      </c>
      <c r="C39" s="370">
        <v>497.09399999999994</v>
      </c>
      <c r="D39" s="371">
        <v>0.96199999999999997</v>
      </c>
      <c r="E39" s="371">
        <v>1.6120000000000001</v>
      </c>
      <c r="F39" s="371">
        <v>1.6639999999999999</v>
      </c>
      <c r="G39" s="371">
        <v>2.5739999999999998</v>
      </c>
      <c r="H39" s="371">
        <v>1.079</v>
      </c>
      <c r="I39" s="371">
        <v>1.0009999999999999</v>
      </c>
      <c r="J39" s="371">
        <v>0.871</v>
      </c>
      <c r="K39" s="371">
        <v>3.1589999999999998</v>
      </c>
      <c r="L39" s="371">
        <v>4.3940000000000001</v>
      </c>
      <c r="M39" s="371">
        <v>4.03</v>
      </c>
      <c r="N39" s="371">
        <v>4.0299999999999994</v>
      </c>
      <c r="O39" s="371">
        <v>4.8620000000000001</v>
      </c>
      <c r="P39" s="371">
        <v>4.2119999999999997</v>
      </c>
      <c r="Q39" s="371">
        <v>4.7449999999999992</v>
      </c>
      <c r="R39" s="371">
        <v>4.5759999999999996</v>
      </c>
      <c r="S39" s="371">
        <v>24.101999999999997</v>
      </c>
      <c r="T39" s="371">
        <v>28.86</v>
      </c>
      <c r="U39" s="371">
        <v>34.813999999999993</v>
      </c>
      <c r="V39" s="371">
        <v>38.727000000000004</v>
      </c>
      <c r="W39" s="371">
        <v>33.956000000000003</v>
      </c>
      <c r="X39" s="371">
        <v>32.512999999999998</v>
      </c>
      <c r="Y39" s="371">
        <v>29.9</v>
      </c>
      <c r="Z39" s="371">
        <v>32.942</v>
      </c>
      <c r="AA39" s="371">
        <v>36.777000000000001</v>
      </c>
      <c r="AB39" s="371">
        <v>38.817999999999998</v>
      </c>
      <c r="AC39" s="371">
        <v>33.981999999999999</v>
      </c>
      <c r="AD39" s="371">
        <v>27.104999999999997</v>
      </c>
      <c r="AE39" s="371">
        <v>24.062999999999999</v>
      </c>
      <c r="AF39" s="371">
        <v>35.970999999999997</v>
      </c>
      <c r="AG39" s="371">
        <v>0.79300000000000004</v>
      </c>
      <c r="AI39" s="370">
        <v>227.34399999999997</v>
      </c>
      <c r="AJ39" s="371">
        <v>0.46799999999999997</v>
      </c>
      <c r="AK39" s="371">
        <v>0.85799999999999998</v>
      </c>
      <c r="AL39" s="371">
        <v>0.81899999999999995</v>
      </c>
      <c r="AM39" s="371">
        <v>1.3779999999999999</v>
      </c>
      <c r="AN39" s="371">
        <v>0.624</v>
      </c>
      <c r="AO39" s="371">
        <v>0.55899999999999994</v>
      </c>
      <c r="AP39" s="371">
        <v>0.40299999999999997</v>
      </c>
      <c r="AQ39" s="371">
        <v>1.6379999999999999</v>
      </c>
      <c r="AR39" s="371">
        <v>2.2490000000000001</v>
      </c>
      <c r="AS39" s="371">
        <v>2.1320000000000001</v>
      </c>
      <c r="AT39" s="371">
        <v>2.1059999999999999</v>
      </c>
      <c r="AU39" s="371">
        <v>2.5349999999999997</v>
      </c>
      <c r="AV39" s="371">
        <v>1.95</v>
      </c>
      <c r="AW39" s="371">
        <v>2.4179999999999997</v>
      </c>
      <c r="AX39" s="371">
        <v>2.3919999999999999</v>
      </c>
      <c r="AY39" s="371">
        <v>12.375999999999999</v>
      </c>
      <c r="AZ39" s="371">
        <v>14.651</v>
      </c>
      <c r="BA39" s="371">
        <v>17.718999999999998</v>
      </c>
      <c r="BB39" s="371">
        <v>19.448</v>
      </c>
      <c r="BC39" s="371">
        <v>16.497</v>
      </c>
      <c r="BD39" s="371">
        <v>14.962999999999999</v>
      </c>
      <c r="BE39" s="371">
        <v>14.157</v>
      </c>
      <c r="BF39" s="371">
        <v>14.859</v>
      </c>
      <c r="BG39" s="371">
        <v>16.288999999999998</v>
      </c>
      <c r="BH39" s="371">
        <v>16.939</v>
      </c>
      <c r="BI39" s="371">
        <v>14.69</v>
      </c>
      <c r="BJ39" s="371">
        <v>11.322999999999999</v>
      </c>
      <c r="BK39" s="371">
        <v>9.048</v>
      </c>
      <c r="BL39" s="371">
        <v>11.322999999999999</v>
      </c>
      <c r="BM39" s="371">
        <v>0.53300000000000003</v>
      </c>
      <c r="BO39" s="370">
        <v>269.75</v>
      </c>
      <c r="BP39" s="371">
        <v>0.49399999999999999</v>
      </c>
      <c r="BQ39" s="371">
        <v>0.754</v>
      </c>
      <c r="BR39" s="371">
        <v>0.84499999999999997</v>
      </c>
      <c r="BS39" s="371">
        <v>1.196</v>
      </c>
      <c r="BT39" s="371">
        <v>0.45499999999999996</v>
      </c>
      <c r="BU39" s="371">
        <v>0.442</v>
      </c>
      <c r="BV39" s="371">
        <v>0.46799999999999997</v>
      </c>
      <c r="BW39" s="371">
        <v>1.5209999999999999</v>
      </c>
      <c r="BX39" s="371">
        <v>2.145</v>
      </c>
      <c r="BY39" s="371">
        <v>1.8979999999999999</v>
      </c>
      <c r="BZ39" s="371">
        <v>1.9239999999999999</v>
      </c>
      <c r="CA39" s="371">
        <v>2.327</v>
      </c>
      <c r="CB39" s="371">
        <v>2.262</v>
      </c>
      <c r="CC39" s="371">
        <v>2.327</v>
      </c>
      <c r="CD39" s="371">
        <v>2.1839999999999997</v>
      </c>
      <c r="CE39" s="371">
        <v>11.725999999999999</v>
      </c>
      <c r="CF39" s="371">
        <v>14.209</v>
      </c>
      <c r="CG39" s="371">
        <v>17.094999999999999</v>
      </c>
      <c r="CH39" s="371">
        <v>19.279</v>
      </c>
      <c r="CI39" s="371">
        <v>17.459</v>
      </c>
      <c r="CJ39" s="371">
        <v>17.55</v>
      </c>
      <c r="CK39" s="371">
        <v>15.742999999999999</v>
      </c>
      <c r="CL39" s="371">
        <v>18.082999999999998</v>
      </c>
      <c r="CM39" s="371">
        <v>20.488</v>
      </c>
      <c r="CN39" s="371">
        <v>21.878999999999998</v>
      </c>
      <c r="CO39" s="371">
        <v>19.291999999999998</v>
      </c>
      <c r="CP39" s="371">
        <v>15.782</v>
      </c>
      <c r="CQ39" s="371">
        <v>15.014999999999999</v>
      </c>
      <c r="CR39" s="371">
        <v>24.648</v>
      </c>
      <c r="CS39" s="371">
        <v>0.26</v>
      </c>
    </row>
    <row r="40" spans="2:97" x14ac:dyDescent="0.2">
      <c r="B40" s="369" t="s">
        <v>123</v>
      </c>
      <c r="C40" s="370">
        <v>4880.282400000001</v>
      </c>
      <c r="D40" s="371">
        <v>28.396799999999999</v>
      </c>
      <c r="E40" s="371">
        <v>20.253599999999999</v>
      </c>
      <c r="F40" s="371">
        <v>31.7376</v>
      </c>
      <c r="G40" s="371">
        <v>37.166400000000003</v>
      </c>
      <c r="H40" s="371">
        <v>27.979199999999999</v>
      </c>
      <c r="I40" s="371">
        <v>31.111200000000004</v>
      </c>
      <c r="J40" s="371">
        <v>24.638400000000001</v>
      </c>
      <c r="K40" s="371">
        <v>58.672800000000009</v>
      </c>
      <c r="L40" s="371">
        <v>74.750399999999999</v>
      </c>
      <c r="M40" s="371">
        <v>78.926400000000001</v>
      </c>
      <c r="N40" s="371">
        <v>74.124000000000009</v>
      </c>
      <c r="O40" s="371">
        <v>79.552800000000005</v>
      </c>
      <c r="P40" s="371">
        <v>69.530400000000014</v>
      </c>
      <c r="Q40" s="371">
        <v>73.080000000000013</v>
      </c>
      <c r="R40" s="371">
        <v>84.1464</v>
      </c>
      <c r="S40" s="371">
        <v>335.75040000000001</v>
      </c>
      <c r="T40" s="371">
        <v>354.12480000000005</v>
      </c>
      <c r="U40" s="371">
        <v>389.62080000000003</v>
      </c>
      <c r="V40" s="371">
        <v>404.86320000000001</v>
      </c>
      <c r="W40" s="371">
        <v>356.42160000000001</v>
      </c>
      <c r="X40" s="371">
        <v>323.22239999999999</v>
      </c>
      <c r="Y40" s="371">
        <v>288.77040000000005</v>
      </c>
      <c r="Z40" s="371">
        <v>284.8032</v>
      </c>
      <c r="AA40" s="371">
        <v>301.71600000000001</v>
      </c>
      <c r="AB40" s="371">
        <v>287.72640000000001</v>
      </c>
      <c r="AC40" s="371">
        <v>236.36160000000001</v>
      </c>
      <c r="AD40" s="371">
        <v>182.28240000000002</v>
      </c>
      <c r="AE40" s="371">
        <v>148.66560000000001</v>
      </c>
      <c r="AF40" s="371">
        <v>190.21680000000001</v>
      </c>
      <c r="AG40" s="371">
        <v>1.6704000000000001</v>
      </c>
      <c r="AI40" s="370">
        <v>2220.7968000000001</v>
      </c>
      <c r="AJ40" s="371">
        <v>17.121600000000001</v>
      </c>
      <c r="AK40" s="371">
        <v>11.9016</v>
      </c>
      <c r="AL40" s="371">
        <v>16.912800000000001</v>
      </c>
      <c r="AM40" s="371">
        <v>20.044800000000002</v>
      </c>
      <c r="AN40" s="371">
        <v>15.66</v>
      </c>
      <c r="AO40" s="371">
        <v>15.242400000000002</v>
      </c>
      <c r="AP40" s="371">
        <v>11.9016</v>
      </c>
      <c r="AQ40" s="371">
        <v>32.364000000000004</v>
      </c>
      <c r="AR40" s="371">
        <v>39.0456</v>
      </c>
      <c r="AS40" s="371">
        <v>43.012800000000006</v>
      </c>
      <c r="AT40" s="371">
        <v>34.869600000000005</v>
      </c>
      <c r="AU40" s="371">
        <v>40.716000000000001</v>
      </c>
      <c r="AV40" s="371">
        <v>35.078400000000002</v>
      </c>
      <c r="AW40" s="371">
        <v>39.254400000000004</v>
      </c>
      <c r="AX40" s="371">
        <v>43.221600000000002</v>
      </c>
      <c r="AY40" s="371">
        <v>176.01840000000001</v>
      </c>
      <c r="AZ40" s="371">
        <v>177.06240000000003</v>
      </c>
      <c r="BA40" s="371">
        <v>182.0736</v>
      </c>
      <c r="BB40" s="371">
        <v>173.304</v>
      </c>
      <c r="BC40" s="371">
        <v>154.3032</v>
      </c>
      <c r="BD40" s="371">
        <v>137.1816</v>
      </c>
      <c r="BE40" s="371">
        <v>123.60960000000001</v>
      </c>
      <c r="BF40" s="371">
        <v>122.5656</v>
      </c>
      <c r="BG40" s="371">
        <v>130.91760000000002</v>
      </c>
      <c r="BH40" s="371">
        <v>125.9064</v>
      </c>
      <c r="BI40" s="371">
        <v>101.0592</v>
      </c>
      <c r="BJ40" s="371">
        <v>79.135200000000012</v>
      </c>
      <c r="BK40" s="371">
        <v>58.672800000000002</v>
      </c>
      <c r="BL40" s="371">
        <v>61.596000000000004</v>
      </c>
      <c r="BM40" s="371">
        <v>1.044</v>
      </c>
      <c r="BO40" s="370">
        <v>2659.4856000000004</v>
      </c>
      <c r="BP40" s="371">
        <v>11.2752</v>
      </c>
      <c r="BQ40" s="371">
        <v>8.3520000000000003</v>
      </c>
      <c r="BR40" s="371">
        <v>14.824800000000002</v>
      </c>
      <c r="BS40" s="371">
        <v>17.121600000000001</v>
      </c>
      <c r="BT40" s="371">
        <v>12.3192</v>
      </c>
      <c r="BU40" s="371">
        <v>15.8688</v>
      </c>
      <c r="BV40" s="371">
        <v>12.736800000000001</v>
      </c>
      <c r="BW40" s="371">
        <v>26.308800000000002</v>
      </c>
      <c r="BX40" s="371">
        <v>35.704799999999999</v>
      </c>
      <c r="BY40" s="371">
        <v>35.913600000000002</v>
      </c>
      <c r="BZ40" s="371">
        <v>39.254400000000004</v>
      </c>
      <c r="CA40" s="371">
        <v>38.836800000000004</v>
      </c>
      <c r="CB40" s="371">
        <v>34.452000000000005</v>
      </c>
      <c r="CC40" s="371">
        <v>33.825600000000001</v>
      </c>
      <c r="CD40" s="371">
        <v>40.924800000000005</v>
      </c>
      <c r="CE40" s="371">
        <v>159.732</v>
      </c>
      <c r="CF40" s="371">
        <v>177.06240000000003</v>
      </c>
      <c r="CG40" s="371">
        <v>207.5472</v>
      </c>
      <c r="CH40" s="371">
        <v>231.5592</v>
      </c>
      <c r="CI40" s="371">
        <v>202.11840000000001</v>
      </c>
      <c r="CJ40" s="371">
        <v>186.04080000000002</v>
      </c>
      <c r="CK40" s="371">
        <v>165.16080000000002</v>
      </c>
      <c r="CL40" s="371">
        <v>162.23760000000001</v>
      </c>
      <c r="CM40" s="371">
        <v>170.79840000000002</v>
      </c>
      <c r="CN40" s="371">
        <v>161.82000000000002</v>
      </c>
      <c r="CO40" s="371">
        <v>135.30240000000001</v>
      </c>
      <c r="CP40" s="371">
        <v>103.14720000000001</v>
      </c>
      <c r="CQ40" s="371">
        <v>89.992800000000003</v>
      </c>
      <c r="CR40" s="371">
        <v>128.6208</v>
      </c>
      <c r="CS40" s="371">
        <v>0.62640000000000007</v>
      </c>
    </row>
    <row r="41" spans="2:97" x14ac:dyDescent="0.2">
      <c r="B41" s="372" t="s">
        <v>165</v>
      </c>
      <c r="C41" s="373">
        <v>121593</v>
      </c>
      <c r="D41" s="373">
        <v>522</v>
      </c>
      <c r="E41" s="373">
        <v>523</v>
      </c>
      <c r="F41" s="373">
        <v>580.00000000000011</v>
      </c>
      <c r="G41" s="373">
        <v>725.99999999999989</v>
      </c>
      <c r="H41" s="373">
        <v>659</v>
      </c>
      <c r="I41" s="373">
        <v>737</v>
      </c>
      <c r="J41" s="373">
        <v>561.00000000000011</v>
      </c>
      <c r="K41" s="373">
        <v>1171.0000000000002</v>
      </c>
      <c r="L41" s="373">
        <v>1544.9999999999998</v>
      </c>
      <c r="M41" s="373">
        <v>1560</v>
      </c>
      <c r="N41" s="373">
        <v>1483</v>
      </c>
      <c r="O41" s="373">
        <v>1551</v>
      </c>
      <c r="P41" s="373">
        <v>1441</v>
      </c>
      <c r="Q41" s="373">
        <v>1541.9999999999998</v>
      </c>
      <c r="R41" s="373">
        <v>1596</v>
      </c>
      <c r="S41" s="373">
        <v>7507</v>
      </c>
      <c r="T41" s="373">
        <v>8141</v>
      </c>
      <c r="U41" s="373">
        <v>9448.0000000000018</v>
      </c>
      <c r="V41" s="373">
        <v>9877.0000000000018</v>
      </c>
      <c r="W41" s="373">
        <v>8575</v>
      </c>
      <c r="X41" s="373">
        <v>7949</v>
      </c>
      <c r="Y41" s="373">
        <v>7397.0000000000009</v>
      </c>
      <c r="Z41" s="373">
        <v>7633</v>
      </c>
      <c r="AA41" s="373">
        <v>8202</v>
      </c>
      <c r="AB41" s="373">
        <v>8071</v>
      </c>
      <c r="AC41" s="373">
        <v>6820</v>
      </c>
      <c r="AD41" s="373">
        <v>5314</v>
      </c>
      <c r="AE41" s="373">
        <v>4412</v>
      </c>
      <c r="AF41" s="373">
        <v>5947</v>
      </c>
      <c r="AG41" s="373">
        <v>103</v>
      </c>
      <c r="AH41" s="363">
        <v>0</v>
      </c>
      <c r="AI41" s="373">
        <v>55275</v>
      </c>
      <c r="AJ41" s="373">
        <v>272</v>
      </c>
      <c r="AK41" s="373">
        <v>270</v>
      </c>
      <c r="AL41" s="373">
        <v>282</v>
      </c>
      <c r="AM41" s="373">
        <v>383</v>
      </c>
      <c r="AN41" s="373">
        <v>340.00000000000006</v>
      </c>
      <c r="AO41" s="373">
        <v>379</v>
      </c>
      <c r="AP41" s="373">
        <v>263</v>
      </c>
      <c r="AQ41" s="373">
        <v>608</v>
      </c>
      <c r="AR41" s="373">
        <v>779</v>
      </c>
      <c r="AS41" s="373">
        <v>808.99999999999989</v>
      </c>
      <c r="AT41" s="373">
        <v>728</v>
      </c>
      <c r="AU41" s="373">
        <v>805</v>
      </c>
      <c r="AV41" s="373">
        <v>702.00000000000011</v>
      </c>
      <c r="AW41" s="373">
        <v>810</v>
      </c>
      <c r="AX41" s="373">
        <v>813</v>
      </c>
      <c r="AY41" s="373">
        <v>3888</v>
      </c>
      <c r="AZ41" s="373">
        <v>4051</v>
      </c>
      <c r="BA41" s="373">
        <v>4539</v>
      </c>
      <c r="BB41" s="373">
        <v>4591</v>
      </c>
      <c r="BC41" s="373">
        <v>3826.9999999999995</v>
      </c>
      <c r="BD41" s="373">
        <v>3484.0000000000005</v>
      </c>
      <c r="BE41" s="373">
        <v>3226.0000000000005</v>
      </c>
      <c r="BF41" s="373">
        <v>3380</v>
      </c>
      <c r="BG41" s="373">
        <v>3608.0000000000009</v>
      </c>
      <c r="BH41" s="373">
        <v>3474.9999999999995</v>
      </c>
      <c r="BI41" s="373">
        <v>2949</v>
      </c>
      <c r="BJ41" s="373">
        <v>2269</v>
      </c>
      <c r="BK41" s="373">
        <v>1772</v>
      </c>
      <c r="BL41" s="373">
        <v>1913.0000000000002</v>
      </c>
      <c r="BM41" s="373">
        <v>60</v>
      </c>
      <c r="BN41" s="363">
        <v>0</v>
      </c>
      <c r="BO41" s="373">
        <v>66318</v>
      </c>
      <c r="BP41" s="373">
        <v>250</v>
      </c>
      <c r="BQ41" s="373">
        <v>253</v>
      </c>
      <c r="BR41" s="373">
        <v>298</v>
      </c>
      <c r="BS41" s="373">
        <v>343.00000000000006</v>
      </c>
      <c r="BT41" s="373">
        <v>319.00000000000006</v>
      </c>
      <c r="BU41" s="373">
        <v>358.00000000000006</v>
      </c>
      <c r="BV41" s="373">
        <v>298</v>
      </c>
      <c r="BW41" s="373">
        <v>563</v>
      </c>
      <c r="BX41" s="373">
        <v>766</v>
      </c>
      <c r="BY41" s="373">
        <v>751</v>
      </c>
      <c r="BZ41" s="373">
        <v>755</v>
      </c>
      <c r="CA41" s="373">
        <v>746</v>
      </c>
      <c r="CB41" s="373">
        <v>739</v>
      </c>
      <c r="CC41" s="373">
        <v>732</v>
      </c>
      <c r="CD41" s="373">
        <v>783</v>
      </c>
      <c r="CE41" s="373">
        <v>3619</v>
      </c>
      <c r="CF41" s="373">
        <v>4090</v>
      </c>
      <c r="CG41" s="373">
        <v>4909</v>
      </c>
      <c r="CH41" s="373">
        <v>5286</v>
      </c>
      <c r="CI41" s="373">
        <v>4748</v>
      </c>
      <c r="CJ41" s="373">
        <v>4465</v>
      </c>
      <c r="CK41" s="373">
        <v>4171</v>
      </c>
      <c r="CL41" s="373">
        <v>4253</v>
      </c>
      <c r="CM41" s="373">
        <v>4593.9999999999991</v>
      </c>
      <c r="CN41" s="373">
        <v>4596</v>
      </c>
      <c r="CO41" s="373">
        <v>3871</v>
      </c>
      <c r="CP41" s="373">
        <v>3045</v>
      </c>
      <c r="CQ41" s="373">
        <v>2639.9999999999995</v>
      </c>
      <c r="CR41" s="373">
        <v>4034</v>
      </c>
      <c r="CS41" s="373">
        <v>42.999999999999993</v>
      </c>
    </row>
    <row r="42" spans="2:97" ht="5.25" customHeight="1" x14ac:dyDescent="0.2">
      <c r="B42" s="369"/>
      <c r="C42" s="370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I42" s="370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371"/>
      <c r="BK42" s="371"/>
      <c r="BL42" s="371"/>
      <c r="BM42" s="371"/>
      <c r="BO42" s="370"/>
      <c r="BP42" s="371"/>
      <c r="BQ42" s="371"/>
      <c r="BR42" s="371"/>
      <c r="BS42" s="371"/>
      <c r="BT42" s="371"/>
      <c r="BU42" s="371"/>
      <c r="BV42" s="371"/>
      <c r="BW42" s="371"/>
      <c r="BX42" s="371"/>
      <c r="BY42" s="371"/>
      <c r="BZ42" s="371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</row>
    <row r="43" spans="2:97" hidden="1" x14ac:dyDescent="0.2">
      <c r="B43" s="369" t="s">
        <v>239</v>
      </c>
      <c r="C43" s="370">
        <v>35335.455100000014</v>
      </c>
      <c r="D43" s="371">
        <v>239.49022000000002</v>
      </c>
      <c r="E43" s="371">
        <v>297.47896000000003</v>
      </c>
      <c r="F43" s="371">
        <v>271.59698000000003</v>
      </c>
      <c r="G43" s="371">
        <v>292.23703999999998</v>
      </c>
      <c r="H43" s="371">
        <v>311.23900000000003</v>
      </c>
      <c r="I43" s="371">
        <v>325.9819</v>
      </c>
      <c r="J43" s="371">
        <v>308.29042000000004</v>
      </c>
      <c r="K43" s="371">
        <v>408.54214000000002</v>
      </c>
      <c r="L43" s="371">
        <v>509.77672000000007</v>
      </c>
      <c r="M43" s="371">
        <v>507.15575999999999</v>
      </c>
      <c r="N43" s="371">
        <v>493.39572000000004</v>
      </c>
      <c r="O43" s="371">
        <v>488.15380000000005</v>
      </c>
      <c r="P43" s="371">
        <v>501.58622000000003</v>
      </c>
      <c r="Q43" s="371">
        <v>494.37858000000006</v>
      </c>
      <c r="R43" s="371">
        <v>484.54998000000001</v>
      </c>
      <c r="S43" s="371">
        <v>2272.0447000000004</v>
      </c>
      <c r="T43" s="371">
        <v>2449.94236</v>
      </c>
      <c r="U43" s="371">
        <v>2792.3052600000001</v>
      </c>
      <c r="V43" s="371">
        <v>2847.6730400000001</v>
      </c>
      <c r="W43" s="371">
        <v>2421.4394200000002</v>
      </c>
      <c r="X43" s="371">
        <v>2260.9056200000005</v>
      </c>
      <c r="Y43" s="371">
        <v>2072.1965</v>
      </c>
      <c r="Z43" s="371">
        <v>2068.5926800000002</v>
      </c>
      <c r="AA43" s="371">
        <v>2198.0025800000003</v>
      </c>
      <c r="AB43" s="371">
        <v>2157.70532</v>
      </c>
      <c r="AC43" s="371">
        <v>1871.6930600000001</v>
      </c>
      <c r="AD43" s="371">
        <v>1411.7145800000001</v>
      </c>
      <c r="AE43" s="371">
        <v>1120.7880200000002</v>
      </c>
      <c r="AF43" s="371">
        <v>1448.7356400000001</v>
      </c>
      <c r="AG43" s="371">
        <v>7.8628800000000005</v>
      </c>
      <c r="AI43" s="370">
        <v>15874.49948</v>
      </c>
      <c r="AJ43" s="371">
        <v>122.20226000000001</v>
      </c>
      <c r="AK43" s="371">
        <v>149.72234</v>
      </c>
      <c r="AL43" s="371">
        <v>139.56612000000001</v>
      </c>
      <c r="AM43" s="371">
        <v>149.72234</v>
      </c>
      <c r="AN43" s="371">
        <v>166.75858000000002</v>
      </c>
      <c r="AO43" s="371">
        <v>175.93194000000003</v>
      </c>
      <c r="AP43" s="371">
        <v>154.63664</v>
      </c>
      <c r="AQ43" s="371">
        <v>216.88444000000001</v>
      </c>
      <c r="AR43" s="371">
        <v>257.83694000000003</v>
      </c>
      <c r="AS43" s="371">
        <v>271.26936000000001</v>
      </c>
      <c r="AT43" s="371">
        <v>252.26740000000001</v>
      </c>
      <c r="AU43" s="371">
        <v>237.19688000000002</v>
      </c>
      <c r="AV43" s="371">
        <v>254.23312000000001</v>
      </c>
      <c r="AW43" s="371">
        <v>259.80266</v>
      </c>
      <c r="AX43" s="371">
        <v>255.54360000000003</v>
      </c>
      <c r="AY43" s="371">
        <v>1128.9785200000001</v>
      </c>
      <c r="AZ43" s="371">
        <v>1192.8644200000001</v>
      </c>
      <c r="BA43" s="371">
        <v>1323.5848000000001</v>
      </c>
      <c r="BB43" s="371">
        <v>1256.7503200000001</v>
      </c>
      <c r="BC43" s="371">
        <v>1054.60878</v>
      </c>
      <c r="BD43" s="371">
        <v>957.63326000000006</v>
      </c>
      <c r="BE43" s="371">
        <v>871.14158000000009</v>
      </c>
      <c r="BF43" s="371">
        <v>882.28066000000001</v>
      </c>
      <c r="BG43" s="371">
        <v>949.77038000000005</v>
      </c>
      <c r="BH43" s="371">
        <v>902.26548000000003</v>
      </c>
      <c r="BI43" s="371">
        <v>782.02894000000003</v>
      </c>
      <c r="BJ43" s="371">
        <v>603.14841999999999</v>
      </c>
      <c r="BK43" s="371">
        <v>437.04508000000004</v>
      </c>
      <c r="BL43" s="371">
        <v>462.92706000000004</v>
      </c>
      <c r="BM43" s="371">
        <v>5.8971600000000004</v>
      </c>
      <c r="BO43" s="370">
        <v>19460.955620000004</v>
      </c>
      <c r="BP43" s="371">
        <v>117.28796000000001</v>
      </c>
      <c r="BQ43" s="371">
        <v>147.75662</v>
      </c>
      <c r="BR43" s="371">
        <v>132.03086000000002</v>
      </c>
      <c r="BS43" s="371">
        <v>142.5147</v>
      </c>
      <c r="BT43" s="371">
        <v>144.48042000000001</v>
      </c>
      <c r="BU43" s="371">
        <v>150.04996</v>
      </c>
      <c r="BV43" s="371">
        <v>153.65378000000001</v>
      </c>
      <c r="BW43" s="371">
        <v>191.65770000000001</v>
      </c>
      <c r="BX43" s="371">
        <v>251.93978000000001</v>
      </c>
      <c r="BY43" s="371">
        <v>235.88640000000001</v>
      </c>
      <c r="BZ43" s="371">
        <v>241.12832000000003</v>
      </c>
      <c r="CA43" s="371">
        <v>250.95692000000003</v>
      </c>
      <c r="CB43" s="371">
        <v>247.35310000000001</v>
      </c>
      <c r="CC43" s="371">
        <v>234.57592000000002</v>
      </c>
      <c r="CD43" s="371">
        <v>229.00638000000001</v>
      </c>
      <c r="CE43" s="371">
        <v>1143.06618</v>
      </c>
      <c r="CF43" s="371">
        <v>1257.0779400000001</v>
      </c>
      <c r="CG43" s="371">
        <v>1468.72046</v>
      </c>
      <c r="CH43" s="371">
        <v>1590.92272</v>
      </c>
      <c r="CI43" s="371">
        <v>1366.8306400000001</v>
      </c>
      <c r="CJ43" s="371">
        <v>1303.2723600000002</v>
      </c>
      <c r="CK43" s="371">
        <v>1201.05492</v>
      </c>
      <c r="CL43" s="371">
        <v>1186.3120200000001</v>
      </c>
      <c r="CM43" s="371">
        <v>1248.2322000000001</v>
      </c>
      <c r="CN43" s="371">
        <v>1255.43984</v>
      </c>
      <c r="CO43" s="371">
        <v>1089.6641200000001</v>
      </c>
      <c r="CP43" s="371">
        <v>808.56616000000008</v>
      </c>
      <c r="CQ43" s="371">
        <v>683.74294000000009</v>
      </c>
      <c r="CR43" s="371">
        <v>985.80858000000012</v>
      </c>
      <c r="CS43" s="371">
        <v>1.9657200000000001</v>
      </c>
    </row>
    <row r="44" spans="2:97" hidden="1" x14ac:dyDescent="0.2">
      <c r="B44" s="369" t="s">
        <v>240</v>
      </c>
      <c r="C44" s="370">
        <v>26172.094299999997</v>
      </c>
      <c r="D44" s="371">
        <v>177.38445999999999</v>
      </c>
      <c r="E44" s="371">
        <v>220.33527999999998</v>
      </c>
      <c r="F44" s="371">
        <v>201.16514000000001</v>
      </c>
      <c r="G44" s="371">
        <v>216.45272</v>
      </c>
      <c r="H44" s="371">
        <v>230.52699999999999</v>
      </c>
      <c r="I44" s="371">
        <v>241.44669999999996</v>
      </c>
      <c r="J44" s="371">
        <v>228.34305999999998</v>
      </c>
      <c r="K44" s="371">
        <v>302.59701999999999</v>
      </c>
      <c r="L44" s="371">
        <v>377.57895999999994</v>
      </c>
      <c r="M44" s="371">
        <v>375.63767999999993</v>
      </c>
      <c r="N44" s="371">
        <v>365.44596000000001</v>
      </c>
      <c r="O44" s="371">
        <v>361.5634</v>
      </c>
      <c r="P44" s="371">
        <v>371.51245999999998</v>
      </c>
      <c r="Q44" s="371">
        <v>366.17393999999996</v>
      </c>
      <c r="R44" s="371">
        <v>358.89413999999999</v>
      </c>
      <c r="S44" s="371">
        <v>1682.8471</v>
      </c>
      <c r="T44" s="371">
        <v>1814.61148</v>
      </c>
      <c r="U44" s="371">
        <v>2068.1911799999998</v>
      </c>
      <c r="V44" s="371">
        <v>2109.2007199999998</v>
      </c>
      <c r="W44" s="371">
        <v>1793.5000599999998</v>
      </c>
      <c r="X44" s="371">
        <v>1674.5966599999999</v>
      </c>
      <c r="Y44" s="371">
        <v>1534.8244999999999</v>
      </c>
      <c r="Z44" s="371">
        <v>1532.15524</v>
      </c>
      <c r="AA44" s="371">
        <v>1628.00594</v>
      </c>
      <c r="AB44" s="371">
        <v>1598.1587599999998</v>
      </c>
      <c r="AC44" s="371">
        <v>1386.3165799999999</v>
      </c>
      <c r="AD44" s="371">
        <v>1045.62194</v>
      </c>
      <c r="AE44" s="371">
        <v>830.13986</v>
      </c>
      <c r="AF44" s="371">
        <v>1073.04252</v>
      </c>
      <c r="AG44" s="371">
        <v>5.8238399999999997</v>
      </c>
      <c r="AI44" s="370">
        <v>11757.84764</v>
      </c>
      <c r="AJ44" s="371">
        <v>90.512180000000001</v>
      </c>
      <c r="AK44" s="371">
        <v>110.89561999999999</v>
      </c>
      <c r="AL44" s="371">
        <v>103.37316</v>
      </c>
      <c r="AM44" s="371">
        <v>110.89561999999999</v>
      </c>
      <c r="AN44" s="371">
        <v>123.51393999999999</v>
      </c>
      <c r="AO44" s="371">
        <v>130.30841999999998</v>
      </c>
      <c r="AP44" s="371">
        <v>114.53551999999999</v>
      </c>
      <c r="AQ44" s="371">
        <v>160.64091999999999</v>
      </c>
      <c r="AR44" s="371">
        <v>190.97341999999998</v>
      </c>
      <c r="AS44" s="371">
        <v>200.92247999999998</v>
      </c>
      <c r="AT44" s="371">
        <v>186.84819999999999</v>
      </c>
      <c r="AU44" s="371">
        <v>175.68583999999998</v>
      </c>
      <c r="AV44" s="371">
        <v>188.30416</v>
      </c>
      <c r="AW44" s="371">
        <v>192.42937999999998</v>
      </c>
      <c r="AX44" s="371">
        <v>189.2748</v>
      </c>
      <c r="AY44" s="371">
        <v>836.2063599999999</v>
      </c>
      <c r="AZ44" s="371">
        <v>883.52505999999994</v>
      </c>
      <c r="BA44" s="371">
        <v>980.3463999999999</v>
      </c>
      <c r="BB44" s="371">
        <v>930.84375999999997</v>
      </c>
      <c r="BC44" s="371">
        <v>781.12253999999996</v>
      </c>
      <c r="BD44" s="371">
        <v>709.29517999999996</v>
      </c>
      <c r="BE44" s="371">
        <v>645.23293999999999</v>
      </c>
      <c r="BF44" s="371">
        <v>653.48338000000001</v>
      </c>
      <c r="BG44" s="371">
        <v>703.47133999999994</v>
      </c>
      <c r="BH44" s="371">
        <v>668.28563999999994</v>
      </c>
      <c r="BI44" s="371">
        <v>579.22942</v>
      </c>
      <c r="BJ44" s="371">
        <v>446.73705999999999</v>
      </c>
      <c r="BK44" s="371">
        <v>323.70844</v>
      </c>
      <c r="BL44" s="371">
        <v>342.87858</v>
      </c>
      <c r="BM44" s="371">
        <v>4.3678799999999995</v>
      </c>
      <c r="BO44" s="370">
        <v>14414.246660000001</v>
      </c>
      <c r="BP44" s="371">
        <v>86.872279999999989</v>
      </c>
      <c r="BQ44" s="371">
        <v>109.43965999999999</v>
      </c>
      <c r="BR44" s="371">
        <v>97.791979999999995</v>
      </c>
      <c r="BS44" s="371">
        <v>105.55709999999999</v>
      </c>
      <c r="BT44" s="371">
        <v>107.01306</v>
      </c>
      <c r="BU44" s="371">
        <v>111.13827999999999</v>
      </c>
      <c r="BV44" s="371">
        <v>113.80753999999999</v>
      </c>
      <c r="BW44" s="371">
        <v>141.95609999999999</v>
      </c>
      <c r="BX44" s="371">
        <v>186.60553999999999</v>
      </c>
      <c r="BY44" s="371">
        <v>174.71519999999998</v>
      </c>
      <c r="BZ44" s="371">
        <v>178.59775999999999</v>
      </c>
      <c r="CA44" s="371">
        <v>185.87755999999999</v>
      </c>
      <c r="CB44" s="371">
        <v>183.20829999999998</v>
      </c>
      <c r="CC44" s="371">
        <v>173.74455999999998</v>
      </c>
      <c r="CD44" s="371">
        <v>169.61933999999999</v>
      </c>
      <c r="CE44" s="371">
        <v>846.64073999999994</v>
      </c>
      <c r="CF44" s="371">
        <v>931.08641999999998</v>
      </c>
      <c r="CG44" s="371">
        <v>1087.8447799999999</v>
      </c>
      <c r="CH44" s="371">
        <v>1178.3569599999998</v>
      </c>
      <c r="CI44" s="371">
        <v>1012.3775199999999</v>
      </c>
      <c r="CJ44" s="371">
        <v>965.30147999999997</v>
      </c>
      <c r="CK44" s="371">
        <v>889.59155999999996</v>
      </c>
      <c r="CL44" s="371">
        <v>878.67185999999992</v>
      </c>
      <c r="CM44" s="371">
        <v>924.53459999999995</v>
      </c>
      <c r="CN44" s="371">
        <v>929.87311999999997</v>
      </c>
      <c r="CO44" s="371">
        <v>807.08715999999993</v>
      </c>
      <c r="CP44" s="371">
        <v>598.88487999999995</v>
      </c>
      <c r="CQ44" s="371">
        <v>506.43141999999995</v>
      </c>
      <c r="CR44" s="371">
        <v>730.16393999999991</v>
      </c>
      <c r="CS44" s="371">
        <v>1.4559599999999999</v>
      </c>
    </row>
    <row r="45" spans="2:97" hidden="1" x14ac:dyDescent="0.2">
      <c r="B45" s="369" t="s">
        <v>241</v>
      </c>
      <c r="C45" s="370">
        <v>30339.611499999995</v>
      </c>
      <c r="D45" s="371">
        <v>205.63029999999998</v>
      </c>
      <c r="E45" s="371">
        <v>255.4204</v>
      </c>
      <c r="F45" s="371">
        <v>233.1977</v>
      </c>
      <c r="G45" s="371">
        <v>250.9196</v>
      </c>
      <c r="H45" s="371">
        <v>267.23500000000001</v>
      </c>
      <c r="I45" s="371">
        <v>279.89350000000002</v>
      </c>
      <c r="J45" s="371">
        <v>264.70330000000001</v>
      </c>
      <c r="K45" s="371">
        <v>350.78109999999998</v>
      </c>
      <c r="L45" s="371">
        <v>437.70279999999997</v>
      </c>
      <c r="M45" s="371">
        <v>435.45240000000001</v>
      </c>
      <c r="N45" s="371">
        <v>423.63779999999997</v>
      </c>
      <c r="O45" s="371">
        <v>419.137</v>
      </c>
      <c r="P45" s="371">
        <v>430.6703</v>
      </c>
      <c r="Q45" s="371">
        <v>424.48169999999999</v>
      </c>
      <c r="R45" s="371">
        <v>416.04269999999997</v>
      </c>
      <c r="S45" s="371">
        <v>1950.8154999999999</v>
      </c>
      <c r="T45" s="371">
        <v>2103.5613999999996</v>
      </c>
      <c r="U45" s="371">
        <v>2397.5199000000002</v>
      </c>
      <c r="V45" s="371">
        <v>2445.0596</v>
      </c>
      <c r="W45" s="371">
        <v>2079.0882999999999</v>
      </c>
      <c r="X45" s="371">
        <v>1941.2512999999999</v>
      </c>
      <c r="Y45" s="371">
        <v>1779.2224999999999</v>
      </c>
      <c r="Z45" s="371">
        <v>1776.1282000000001</v>
      </c>
      <c r="AA45" s="371">
        <v>1887.2417</v>
      </c>
      <c r="AB45" s="371">
        <v>1852.6417999999999</v>
      </c>
      <c r="AC45" s="371">
        <v>1607.0668999999998</v>
      </c>
      <c r="AD45" s="371">
        <v>1212.1216999999999</v>
      </c>
      <c r="AE45" s="371">
        <v>962.32729999999992</v>
      </c>
      <c r="AF45" s="371">
        <v>1243.9086</v>
      </c>
      <c r="AG45" s="371">
        <v>6.7511999999999999</v>
      </c>
      <c r="AI45" s="370">
        <v>13630.110199999997</v>
      </c>
      <c r="AJ45" s="371">
        <v>104.92489999999999</v>
      </c>
      <c r="AK45" s="371">
        <v>128.55410000000001</v>
      </c>
      <c r="AL45" s="371">
        <v>119.8338</v>
      </c>
      <c r="AM45" s="371">
        <v>128.55410000000001</v>
      </c>
      <c r="AN45" s="371">
        <v>143.18170000000001</v>
      </c>
      <c r="AO45" s="371">
        <v>151.0581</v>
      </c>
      <c r="AP45" s="371">
        <v>132.77359999999999</v>
      </c>
      <c r="AQ45" s="371">
        <v>186.22059999999999</v>
      </c>
      <c r="AR45" s="371">
        <v>221.38309999999998</v>
      </c>
      <c r="AS45" s="371">
        <v>232.91639999999998</v>
      </c>
      <c r="AT45" s="371">
        <v>216.601</v>
      </c>
      <c r="AU45" s="371">
        <v>203.66120000000001</v>
      </c>
      <c r="AV45" s="371">
        <v>218.28880000000001</v>
      </c>
      <c r="AW45" s="371">
        <v>223.07089999999999</v>
      </c>
      <c r="AX45" s="371">
        <v>219.41399999999999</v>
      </c>
      <c r="AY45" s="371">
        <v>969.35979999999995</v>
      </c>
      <c r="AZ45" s="371">
        <v>1024.2132999999999</v>
      </c>
      <c r="BA45" s="371">
        <v>1136.452</v>
      </c>
      <c r="BB45" s="371">
        <v>1079.0668000000001</v>
      </c>
      <c r="BC45" s="371">
        <v>905.50469999999996</v>
      </c>
      <c r="BD45" s="371">
        <v>822.23990000000003</v>
      </c>
      <c r="BE45" s="371">
        <v>747.97669999999994</v>
      </c>
      <c r="BF45" s="371">
        <v>757.54089999999997</v>
      </c>
      <c r="BG45" s="371">
        <v>815.48869999999999</v>
      </c>
      <c r="BH45" s="371">
        <v>774.7002</v>
      </c>
      <c r="BI45" s="371">
        <v>671.46309999999994</v>
      </c>
      <c r="BJ45" s="371">
        <v>517.87329999999997</v>
      </c>
      <c r="BK45" s="371">
        <v>375.25419999999997</v>
      </c>
      <c r="BL45" s="371">
        <v>397.4769</v>
      </c>
      <c r="BM45" s="371">
        <v>5.0633999999999997</v>
      </c>
      <c r="BO45" s="370">
        <v>16709.5013</v>
      </c>
      <c r="BP45" s="371">
        <v>100.7054</v>
      </c>
      <c r="BQ45" s="371">
        <v>126.8663</v>
      </c>
      <c r="BR45" s="371">
        <v>113.3639</v>
      </c>
      <c r="BS45" s="371">
        <v>122.3655</v>
      </c>
      <c r="BT45" s="371">
        <v>124.05329999999999</v>
      </c>
      <c r="BU45" s="371">
        <v>128.83539999999999</v>
      </c>
      <c r="BV45" s="371">
        <v>131.9297</v>
      </c>
      <c r="BW45" s="371">
        <v>164.56049999999999</v>
      </c>
      <c r="BX45" s="371">
        <v>216.31969999999998</v>
      </c>
      <c r="BY45" s="371">
        <v>202.536</v>
      </c>
      <c r="BZ45" s="371">
        <v>207.0368</v>
      </c>
      <c r="CA45" s="371">
        <v>215.47579999999999</v>
      </c>
      <c r="CB45" s="371">
        <v>212.38149999999999</v>
      </c>
      <c r="CC45" s="371">
        <v>201.41079999999999</v>
      </c>
      <c r="CD45" s="371">
        <v>196.62870000000001</v>
      </c>
      <c r="CE45" s="371">
        <v>981.45569999999998</v>
      </c>
      <c r="CF45" s="371">
        <v>1079.3480999999999</v>
      </c>
      <c r="CG45" s="371">
        <v>1261.0679</v>
      </c>
      <c r="CH45" s="371">
        <v>1365.9928</v>
      </c>
      <c r="CI45" s="371">
        <v>1173.5835999999999</v>
      </c>
      <c r="CJ45" s="371">
        <v>1119.0113999999999</v>
      </c>
      <c r="CK45" s="371">
        <v>1031.2457999999999</v>
      </c>
      <c r="CL45" s="371">
        <v>1018.5873</v>
      </c>
      <c r="CM45" s="371">
        <v>1071.7529999999999</v>
      </c>
      <c r="CN45" s="371">
        <v>1077.9415999999999</v>
      </c>
      <c r="CO45" s="371">
        <v>935.60379999999998</v>
      </c>
      <c r="CP45" s="371">
        <v>694.24839999999995</v>
      </c>
      <c r="CQ45" s="371">
        <v>587.07309999999995</v>
      </c>
      <c r="CR45" s="371">
        <v>846.43169999999998</v>
      </c>
      <c r="CS45" s="371">
        <v>1.6878</v>
      </c>
    </row>
    <row r="46" spans="2:97" hidden="1" x14ac:dyDescent="0.2">
      <c r="B46" s="369" t="s">
        <v>242</v>
      </c>
      <c r="C46" s="370">
        <v>9842.8472999999994</v>
      </c>
      <c r="D46" s="371">
        <v>66.711060000000003</v>
      </c>
      <c r="E46" s="371">
        <v>82.864080000000001</v>
      </c>
      <c r="F46" s="371">
        <v>75.654539999999997</v>
      </c>
      <c r="G46" s="371">
        <v>81.403919999999999</v>
      </c>
      <c r="H46" s="371">
        <v>86.696999999999989</v>
      </c>
      <c r="I46" s="371">
        <v>90.803699999999992</v>
      </c>
      <c r="J46" s="371">
        <v>85.875659999999996</v>
      </c>
      <c r="K46" s="371">
        <v>113.80122</v>
      </c>
      <c r="L46" s="371">
        <v>142.00056000000001</v>
      </c>
      <c r="M46" s="371">
        <v>141.27047999999999</v>
      </c>
      <c r="N46" s="371">
        <v>137.43755999999999</v>
      </c>
      <c r="O46" s="371">
        <v>135.97739999999999</v>
      </c>
      <c r="P46" s="371">
        <v>139.71905999999998</v>
      </c>
      <c r="Q46" s="371">
        <v>137.71134000000001</v>
      </c>
      <c r="R46" s="371">
        <v>134.97353999999999</v>
      </c>
      <c r="S46" s="371">
        <v>632.88809999999989</v>
      </c>
      <c r="T46" s="371">
        <v>682.44227999999998</v>
      </c>
      <c r="U46" s="371">
        <v>777.80897999999991</v>
      </c>
      <c r="V46" s="371">
        <v>793.23191999999995</v>
      </c>
      <c r="W46" s="371">
        <v>674.50265999999999</v>
      </c>
      <c r="X46" s="371">
        <v>629.78525999999988</v>
      </c>
      <c r="Y46" s="371">
        <v>577.21949999999993</v>
      </c>
      <c r="Z46" s="371">
        <v>576.21563999999989</v>
      </c>
      <c r="AA46" s="371">
        <v>612.26333999999997</v>
      </c>
      <c r="AB46" s="371">
        <v>601.03836000000001</v>
      </c>
      <c r="AC46" s="371">
        <v>521.36838</v>
      </c>
      <c r="AD46" s="371">
        <v>393.23933999999997</v>
      </c>
      <c r="AE46" s="371">
        <v>312.20046000000002</v>
      </c>
      <c r="AF46" s="371">
        <v>403.55171999999999</v>
      </c>
      <c r="AG46" s="371">
        <v>2.1902399999999997</v>
      </c>
      <c r="AI46" s="370">
        <v>4421.9120400000002</v>
      </c>
      <c r="AJ46" s="371">
        <v>34.03998</v>
      </c>
      <c r="AK46" s="371">
        <v>41.705819999999996</v>
      </c>
      <c r="AL46" s="371">
        <v>38.876759999999997</v>
      </c>
      <c r="AM46" s="371">
        <v>41.705819999999996</v>
      </c>
      <c r="AN46" s="371">
        <v>46.451339999999995</v>
      </c>
      <c r="AO46" s="371">
        <v>49.006619999999998</v>
      </c>
      <c r="AP46" s="371">
        <v>43.074719999999999</v>
      </c>
      <c r="AQ46" s="371">
        <v>60.414119999999997</v>
      </c>
      <c r="AR46" s="371">
        <v>71.821619999999996</v>
      </c>
      <c r="AS46" s="371">
        <v>75.563279999999992</v>
      </c>
      <c r="AT46" s="371">
        <v>70.270199999999988</v>
      </c>
      <c r="AU46" s="371">
        <v>66.072239999999994</v>
      </c>
      <c r="AV46" s="371">
        <v>70.817759999999993</v>
      </c>
      <c r="AW46" s="371">
        <v>72.36918</v>
      </c>
      <c r="AX46" s="371">
        <v>71.1828</v>
      </c>
      <c r="AY46" s="371">
        <v>314.48195999999996</v>
      </c>
      <c r="AZ46" s="371">
        <v>332.27765999999997</v>
      </c>
      <c r="BA46" s="371">
        <v>368.69039999999995</v>
      </c>
      <c r="BB46" s="371">
        <v>350.07335999999998</v>
      </c>
      <c r="BC46" s="371">
        <v>293.76594</v>
      </c>
      <c r="BD46" s="371">
        <v>266.75297999999998</v>
      </c>
      <c r="BE46" s="371">
        <v>242.66033999999999</v>
      </c>
      <c r="BF46" s="371">
        <v>245.76317999999998</v>
      </c>
      <c r="BG46" s="371">
        <v>264.56273999999996</v>
      </c>
      <c r="BH46" s="371">
        <v>251.33004</v>
      </c>
      <c r="BI46" s="371">
        <v>217.83761999999999</v>
      </c>
      <c r="BJ46" s="371">
        <v>168.00966</v>
      </c>
      <c r="BK46" s="371">
        <v>121.74083999999999</v>
      </c>
      <c r="BL46" s="371">
        <v>128.95038</v>
      </c>
      <c r="BM46" s="371">
        <v>1.6426799999999999</v>
      </c>
      <c r="BO46" s="370">
        <v>5420.9352599999993</v>
      </c>
      <c r="BP46" s="371">
        <v>32.671079999999996</v>
      </c>
      <c r="BQ46" s="371">
        <v>41.158259999999999</v>
      </c>
      <c r="BR46" s="371">
        <v>36.77778</v>
      </c>
      <c r="BS46" s="371">
        <v>39.698099999999997</v>
      </c>
      <c r="BT46" s="371">
        <v>40.245659999999994</v>
      </c>
      <c r="BU46" s="371">
        <v>41.797079999999994</v>
      </c>
      <c r="BV46" s="371">
        <v>42.800939999999997</v>
      </c>
      <c r="BW46" s="371">
        <v>53.387099999999997</v>
      </c>
      <c r="BX46" s="371">
        <v>70.178939999999997</v>
      </c>
      <c r="BY46" s="371">
        <v>65.7072</v>
      </c>
      <c r="BZ46" s="371">
        <v>67.167360000000002</v>
      </c>
      <c r="CA46" s="371">
        <v>69.905159999999995</v>
      </c>
      <c r="CB46" s="371">
        <v>68.901299999999992</v>
      </c>
      <c r="CC46" s="371">
        <v>65.342159999999993</v>
      </c>
      <c r="CD46" s="371">
        <v>63.790739999999992</v>
      </c>
      <c r="CE46" s="371">
        <v>318.40613999999999</v>
      </c>
      <c r="CF46" s="371">
        <v>350.16461999999996</v>
      </c>
      <c r="CG46" s="371">
        <v>409.11857999999995</v>
      </c>
      <c r="CH46" s="371">
        <v>443.15855999999997</v>
      </c>
      <c r="CI46" s="371">
        <v>380.73671999999999</v>
      </c>
      <c r="CJ46" s="371">
        <v>363.03227999999996</v>
      </c>
      <c r="CK46" s="371">
        <v>334.55915999999996</v>
      </c>
      <c r="CL46" s="371">
        <v>330.45245999999997</v>
      </c>
      <c r="CM46" s="371">
        <v>347.70059999999995</v>
      </c>
      <c r="CN46" s="371">
        <v>349.70831999999996</v>
      </c>
      <c r="CO46" s="371">
        <v>303.53075999999999</v>
      </c>
      <c r="CP46" s="371">
        <v>225.22967999999997</v>
      </c>
      <c r="CQ46" s="371">
        <v>190.45962</v>
      </c>
      <c r="CR46" s="371">
        <v>274.60133999999999</v>
      </c>
      <c r="CS46" s="371">
        <v>0.54755999999999994</v>
      </c>
    </row>
    <row r="47" spans="2:97" hidden="1" x14ac:dyDescent="0.2">
      <c r="B47" s="369" t="s">
        <v>243</v>
      </c>
      <c r="C47" s="370">
        <v>6164.9917999999998</v>
      </c>
      <c r="D47" s="371">
        <v>41.78396</v>
      </c>
      <c r="E47" s="371">
        <v>51.90128</v>
      </c>
      <c r="F47" s="371">
        <v>47.385640000000002</v>
      </c>
      <c r="G47" s="371">
        <v>50.986720000000005</v>
      </c>
      <c r="H47" s="371">
        <v>54.302000000000007</v>
      </c>
      <c r="I47" s="371">
        <v>56.874200000000002</v>
      </c>
      <c r="J47" s="371">
        <v>53.787559999999999</v>
      </c>
      <c r="K47" s="371">
        <v>71.27852</v>
      </c>
      <c r="L47" s="371">
        <v>88.940960000000004</v>
      </c>
      <c r="M47" s="371">
        <v>88.483679999999993</v>
      </c>
      <c r="N47" s="371">
        <v>86.082960000000014</v>
      </c>
      <c r="O47" s="371">
        <v>85.168399999999991</v>
      </c>
      <c r="P47" s="371">
        <v>87.511960000000002</v>
      </c>
      <c r="Q47" s="371">
        <v>86.254440000000002</v>
      </c>
      <c r="R47" s="371">
        <v>84.539640000000006</v>
      </c>
      <c r="S47" s="371">
        <v>396.40460000000002</v>
      </c>
      <c r="T47" s="371">
        <v>427.44248000000005</v>
      </c>
      <c r="U47" s="371">
        <v>487.17468000000002</v>
      </c>
      <c r="V47" s="371">
        <v>496.83472</v>
      </c>
      <c r="W47" s="371">
        <v>422.46956</v>
      </c>
      <c r="X47" s="371">
        <v>394.46116000000006</v>
      </c>
      <c r="Y47" s="371">
        <v>361.53700000000003</v>
      </c>
      <c r="Z47" s="371">
        <v>360.90823999999998</v>
      </c>
      <c r="AA47" s="371">
        <v>383.48644000000002</v>
      </c>
      <c r="AB47" s="371">
        <v>376.45576000000005</v>
      </c>
      <c r="AC47" s="371">
        <v>326.55507999999998</v>
      </c>
      <c r="AD47" s="371">
        <v>246.30244000000002</v>
      </c>
      <c r="AE47" s="371">
        <v>195.54436000000001</v>
      </c>
      <c r="AF47" s="371">
        <v>252.76152000000002</v>
      </c>
      <c r="AG47" s="371">
        <v>1.3718400000000002</v>
      </c>
      <c r="AI47" s="370">
        <v>2769.6306400000003</v>
      </c>
      <c r="AJ47" s="371">
        <v>21.320679999999999</v>
      </c>
      <c r="AK47" s="371">
        <v>26.122120000000002</v>
      </c>
      <c r="AL47" s="371">
        <v>24.350160000000002</v>
      </c>
      <c r="AM47" s="371">
        <v>26.122120000000002</v>
      </c>
      <c r="AN47" s="371">
        <v>29.094440000000002</v>
      </c>
      <c r="AO47" s="371">
        <v>30.69492</v>
      </c>
      <c r="AP47" s="371">
        <v>26.979520000000001</v>
      </c>
      <c r="AQ47" s="371">
        <v>37.839919999999999</v>
      </c>
      <c r="AR47" s="371">
        <v>44.984920000000002</v>
      </c>
      <c r="AS47" s="371">
        <v>47.328479999999999</v>
      </c>
      <c r="AT47" s="371">
        <v>44.013200000000005</v>
      </c>
      <c r="AU47" s="371">
        <v>41.383839999999999</v>
      </c>
      <c r="AV47" s="371">
        <v>44.356160000000003</v>
      </c>
      <c r="AW47" s="371">
        <v>45.32788</v>
      </c>
      <c r="AX47" s="371">
        <v>44.584800000000001</v>
      </c>
      <c r="AY47" s="371">
        <v>196.97336000000001</v>
      </c>
      <c r="AZ47" s="371">
        <v>208.11956000000001</v>
      </c>
      <c r="BA47" s="371">
        <v>230.9264</v>
      </c>
      <c r="BB47" s="371">
        <v>219.26576</v>
      </c>
      <c r="BC47" s="371">
        <v>183.99804</v>
      </c>
      <c r="BD47" s="371">
        <v>167.07868000000002</v>
      </c>
      <c r="BE47" s="371">
        <v>151.98844</v>
      </c>
      <c r="BF47" s="371">
        <v>153.93188000000001</v>
      </c>
      <c r="BG47" s="371">
        <v>165.70684</v>
      </c>
      <c r="BH47" s="371">
        <v>157.41864000000001</v>
      </c>
      <c r="BI47" s="371">
        <v>136.44092000000001</v>
      </c>
      <c r="BJ47" s="371">
        <v>105.23156</v>
      </c>
      <c r="BK47" s="371">
        <v>76.251440000000002</v>
      </c>
      <c r="BL47" s="371">
        <v>80.767080000000007</v>
      </c>
      <c r="BM47" s="371">
        <v>1.02888</v>
      </c>
      <c r="BO47" s="370">
        <v>3395.3611600000004</v>
      </c>
      <c r="BP47" s="371">
        <v>20.463280000000001</v>
      </c>
      <c r="BQ47" s="371">
        <v>25.779160000000001</v>
      </c>
      <c r="BR47" s="371">
        <v>23.03548</v>
      </c>
      <c r="BS47" s="371">
        <v>24.864599999999999</v>
      </c>
      <c r="BT47" s="371">
        <v>25.207560000000001</v>
      </c>
      <c r="BU47" s="371">
        <v>26.179280000000002</v>
      </c>
      <c r="BV47" s="371">
        <v>26.808040000000002</v>
      </c>
      <c r="BW47" s="371">
        <v>33.438600000000001</v>
      </c>
      <c r="BX47" s="371">
        <v>43.956040000000002</v>
      </c>
      <c r="BY47" s="371">
        <v>41.155200000000001</v>
      </c>
      <c r="BZ47" s="371">
        <v>42.069760000000002</v>
      </c>
      <c r="CA47" s="371">
        <v>43.784559999999999</v>
      </c>
      <c r="CB47" s="371">
        <v>43.155799999999999</v>
      </c>
      <c r="CC47" s="371">
        <v>40.926560000000002</v>
      </c>
      <c r="CD47" s="371">
        <v>39.954840000000004</v>
      </c>
      <c r="CE47" s="371">
        <v>199.43124</v>
      </c>
      <c r="CF47" s="371">
        <v>219.32292000000001</v>
      </c>
      <c r="CG47" s="371">
        <v>256.24828000000002</v>
      </c>
      <c r="CH47" s="371">
        <v>277.56896</v>
      </c>
      <c r="CI47" s="371">
        <v>238.47152</v>
      </c>
      <c r="CJ47" s="371">
        <v>227.38248000000002</v>
      </c>
      <c r="CK47" s="371">
        <v>209.54856000000001</v>
      </c>
      <c r="CL47" s="371">
        <v>206.97636</v>
      </c>
      <c r="CM47" s="371">
        <v>217.77960000000002</v>
      </c>
      <c r="CN47" s="371">
        <v>219.03712000000002</v>
      </c>
      <c r="CO47" s="371">
        <v>190.11416</v>
      </c>
      <c r="CP47" s="371">
        <v>141.07088000000002</v>
      </c>
      <c r="CQ47" s="371">
        <v>119.29292000000001</v>
      </c>
      <c r="CR47" s="371">
        <v>171.99444</v>
      </c>
      <c r="CS47" s="371">
        <v>0.34296000000000004</v>
      </c>
    </row>
    <row r="48" spans="2:97" ht="15.75" hidden="1" customHeight="1" x14ac:dyDescent="0.2">
      <c r="B48" s="372" t="s">
        <v>244</v>
      </c>
      <c r="C48" s="373">
        <v>107855</v>
      </c>
      <c r="D48" s="373">
        <v>730.99999999999989</v>
      </c>
      <c r="E48" s="373">
        <v>908</v>
      </c>
      <c r="F48" s="373">
        <v>829</v>
      </c>
      <c r="G48" s="373">
        <v>891.99999999999989</v>
      </c>
      <c r="H48" s="373">
        <v>950.00000000000011</v>
      </c>
      <c r="I48" s="373">
        <v>995</v>
      </c>
      <c r="J48" s="373">
        <v>941</v>
      </c>
      <c r="K48" s="373">
        <v>1247</v>
      </c>
      <c r="L48" s="373">
        <v>1555.9999999999998</v>
      </c>
      <c r="M48" s="373">
        <v>1548</v>
      </c>
      <c r="N48" s="373">
        <v>1506</v>
      </c>
      <c r="O48" s="373">
        <v>1490</v>
      </c>
      <c r="P48" s="373">
        <v>1531</v>
      </c>
      <c r="Q48" s="373">
        <v>1509</v>
      </c>
      <c r="R48" s="373">
        <v>1479</v>
      </c>
      <c r="S48" s="373">
        <v>6935</v>
      </c>
      <c r="T48" s="373">
        <v>7478</v>
      </c>
      <c r="U48" s="373">
        <v>8523</v>
      </c>
      <c r="V48" s="373">
        <v>8692.0000000000018</v>
      </c>
      <c r="W48" s="373">
        <v>7391</v>
      </c>
      <c r="X48" s="373">
        <v>6901</v>
      </c>
      <c r="Y48" s="373">
        <v>6325</v>
      </c>
      <c r="Z48" s="373">
        <v>6314.0000000000009</v>
      </c>
      <c r="AA48" s="373">
        <v>6708.9999999999991</v>
      </c>
      <c r="AB48" s="373">
        <v>6585.9999999999991</v>
      </c>
      <c r="AC48" s="373">
        <v>5713</v>
      </c>
      <c r="AD48" s="373">
        <v>4309</v>
      </c>
      <c r="AE48" s="373">
        <v>3421</v>
      </c>
      <c r="AF48" s="373">
        <v>4422</v>
      </c>
      <c r="AG48" s="373">
        <v>24</v>
      </c>
      <c r="AH48" s="363">
        <v>0</v>
      </c>
      <c r="AI48" s="373">
        <v>48454</v>
      </c>
      <c r="AJ48" s="373">
        <v>373</v>
      </c>
      <c r="AK48" s="373">
        <v>457</v>
      </c>
      <c r="AL48" s="373">
        <v>426</v>
      </c>
      <c r="AM48" s="373">
        <v>457</v>
      </c>
      <c r="AN48" s="373">
        <v>509</v>
      </c>
      <c r="AO48" s="373">
        <v>537</v>
      </c>
      <c r="AP48" s="373">
        <v>471.99999999999994</v>
      </c>
      <c r="AQ48" s="373">
        <v>662</v>
      </c>
      <c r="AR48" s="373">
        <v>786.99999999999989</v>
      </c>
      <c r="AS48" s="373">
        <v>827.99999999999989</v>
      </c>
      <c r="AT48" s="373">
        <v>769.99999999999989</v>
      </c>
      <c r="AU48" s="373">
        <v>724</v>
      </c>
      <c r="AV48" s="373">
        <v>776.00000000000011</v>
      </c>
      <c r="AW48" s="373">
        <v>793.00000000000011</v>
      </c>
      <c r="AX48" s="373">
        <v>780</v>
      </c>
      <c r="AY48" s="373">
        <v>3446</v>
      </c>
      <c r="AZ48" s="373">
        <v>3641</v>
      </c>
      <c r="BA48" s="373">
        <v>4040</v>
      </c>
      <c r="BB48" s="373">
        <v>3836</v>
      </c>
      <c r="BC48" s="373">
        <v>3218.9999999999995</v>
      </c>
      <c r="BD48" s="373">
        <v>2923.0000000000005</v>
      </c>
      <c r="BE48" s="373">
        <v>2659</v>
      </c>
      <c r="BF48" s="373">
        <v>2693</v>
      </c>
      <c r="BG48" s="373">
        <v>2898.9999999999995</v>
      </c>
      <c r="BH48" s="373">
        <v>2754</v>
      </c>
      <c r="BI48" s="373">
        <v>2387</v>
      </c>
      <c r="BJ48" s="373">
        <v>1840.9999999999998</v>
      </c>
      <c r="BK48" s="373">
        <v>1334</v>
      </c>
      <c r="BL48" s="373">
        <v>1413.0000000000002</v>
      </c>
      <c r="BM48" s="373">
        <v>18</v>
      </c>
      <c r="BN48" s="363">
        <v>0</v>
      </c>
      <c r="BO48" s="373">
        <v>59401</v>
      </c>
      <c r="BP48" s="373">
        <v>358</v>
      </c>
      <c r="BQ48" s="373">
        <v>451</v>
      </c>
      <c r="BR48" s="373">
        <v>403</v>
      </c>
      <c r="BS48" s="373">
        <v>435</v>
      </c>
      <c r="BT48" s="373">
        <v>441</v>
      </c>
      <c r="BU48" s="373">
        <v>458</v>
      </c>
      <c r="BV48" s="373">
        <v>469</v>
      </c>
      <c r="BW48" s="373">
        <v>584.99999999999989</v>
      </c>
      <c r="BX48" s="373">
        <v>769</v>
      </c>
      <c r="BY48" s="373">
        <v>720.00000000000011</v>
      </c>
      <c r="BZ48" s="373">
        <v>736</v>
      </c>
      <c r="CA48" s="373">
        <v>766</v>
      </c>
      <c r="CB48" s="373">
        <v>755</v>
      </c>
      <c r="CC48" s="373">
        <v>716</v>
      </c>
      <c r="CD48" s="373">
        <v>699</v>
      </c>
      <c r="CE48" s="373">
        <v>3489</v>
      </c>
      <c r="CF48" s="373">
        <v>3837</v>
      </c>
      <c r="CG48" s="373">
        <v>4483</v>
      </c>
      <c r="CH48" s="373">
        <v>4855.9999999999991</v>
      </c>
      <c r="CI48" s="373">
        <v>4172</v>
      </c>
      <c r="CJ48" s="373">
        <v>3978</v>
      </c>
      <c r="CK48" s="373">
        <v>3666</v>
      </c>
      <c r="CL48" s="373">
        <v>3621</v>
      </c>
      <c r="CM48" s="373">
        <v>3810</v>
      </c>
      <c r="CN48" s="373">
        <v>3832</v>
      </c>
      <c r="CO48" s="373">
        <v>3326</v>
      </c>
      <c r="CP48" s="373">
        <v>2468</v>
      </c>
      <c r="CQ48" s="373">
        <v>2087</v>
      </c>
      <c r="CR48" s="373">
        <v>3009</v>
      </c>
      <c r="CS48" s="373">
        <v>6</v>
      </c>
    </row>
    <row r="49" spans="2:97" hidden="1" x14ac:dyDescent="0.2">
      <c r="B49" s="369"/>
      <c r="C49" s="370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I49" s="370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O49" s="370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</row>
    <row r="50" spans="2:97" hidden="1" x14ac:dyDescent="0.2">
      <c r="B50" s="369" t="s">
        <v>245</v>
      </c>
      <c r="C50" s="370">
        <v>15421</v>
      </c>
      <c r="D50" s="371">
        <v>37</v>
      </c>
      <c r="E50" s="371">
        <v>58</v>
      </c>
      <c r="F50" s="371">
        <v>52</v>
      </c>
      <c r="G50" s="371">
        <v>67</v>
      </c>
      <c r="H50" s="371">
        <v>80</v>
      </c>
      <c r="I50" s="371">
        <v>53</v>
      </c>
      <c r="J50" s="371">
        <v>54</v>
      </c>
      <c r="K50" s="371">
        <v>208</v>
      </c>
      <c r="L50" s="371">
        <v>226</v>
      </c>
      <c r="M50" s="371">
        <v>197</v>
      </c>
      <c r="N50" s="371">
        <v>218</v>
      </c>
      <c r="O50" s="371">
        <v>206</v>
      </c>
      <c r="P50" s="371">
        <v>207</v>
      </c>
      <c r="Q50" s="371">
        <v>178</v>
      </c>
      <c r="R50" s="371">
        <v>218</v>
      </c>
      <c r="S50" s="371">
        <v>949</v>
      </c>
      <c r="T50" s="371">
        <v>1020</v>
      </c>
      <c r="U50" s="371">
        <v>1198</v>
      </c>
      <c r="V50" s="371">
        <v>1180</v>
      </c>
      <c r="W50" s="371">
        <v>1044</v>
      </c>
      <c r="X50" s="371">
        <v>1110</v>
      </c>
      <c r="Y50" s="371">
        <v>980</v>
      </c>
      <c r="Z50" s="371">
        <v>920</v>
      </c>
      <c r="AA50" s="371">
        <v>1079</v>
      </c>
      <c r="AB50" s="371">
        <v>1056</v>
      </c>
      <c r="AC50" s="371">
        <v>912</v>
      </c>
      <c r="AD50" s="371">
        <v>661</v>
      </c>
      <c r="AE50" s="371">
        <v>550</v>
      </c>
      <c r="AF50" s="371">
        <v>699</v>
      </c>
      <c r="AG50" s="371">
        <v>4</v>
      </c>
      <c r="AI50" s="370">
        <v>7272</v>
      </c>
      <c r="AJ50" s="371">
        <v>19</v>
      </c>
      <c r="AK50" s="371">
        <v>32</v>
      </c>
      <c r="AL50" s="371">
        <v>24</v>
      </c>
      <c r="AM50" s="371">
        <v>41</v>
      </c>
      <c r="AN50" s="371">
        <v>45</v>
      </c>
      <c r="AO50" s="371">
        <v>27</v>
      </c>
      <c r="AP50" s="371">
        <v>15</v>
      </c>
      <c r="AQ50" s="371">
        <v>111</v>
      </c>
      <c r="AR50" s="371">
        <v>111</v>
      </c>
      <c r="AS50" s="371">
        <v>100</v>
      </c>
      <c r="AT50" s="371">
        <v>95</v>
      </c>
      <c r="AU50" s="371">
        <v>100</v>
      </c>
      <c r="AV50" s="371">
        <v>117</v>
      </c>
      <c r="AW50" s="371">
        <v>95</v>
      </c>
      <c r="AX50" s="371">
        <v>113</v>
      </c>
      <c r="AY50" s="371">
        <v>453</v>
      </c>
      <c r="AZ50" s="371">
        <v>514</v>
      </c>
      <c r="BA50" s="371">
        <v>580</v>
      </c>
      <c r="BB50" s="371">
        <v>532</v>
      </c>
      <c r="BC50" s="371">
        <v>522</v>
      </c>
      <c r="BD50" s="371">
        <v>488</v>
      </c>
      <c r="BE50" s="371">
        <v>470</v>
      </c>
      <c r="BF50" s="371">
        <v>427</v>
      </c>
      <c r="BG50" s="371">
        <v>506</v>
      </c>
      <c r="BH50" s="371">
        <v>507</v>
      </c>
      <c r="BI50" s="371">
        <v>414</v>
      </c>
      <c r="BJ50" s="371">
        <v>290</v>
      </c>
      <c r="BK50" s="371">
        <v>236</v>
      </c>
      <c r="BL50" s="371">
        <v>285</v>
      </c>
      <c r="BM50" s="371">
        <v>3</v>
      </c>
      <c r="BO50" s="370">
        <v>8149</v>
      </c>
      <c r="BP50" s="371">
        <v>18</v>
      </c>
      <c r="BQ50" s="371">
        <v>26</v>
      </c>
      <c r="BR50" s="371">
        <v>28</v>
      </c>
      <c r="BS50" s="371">
        <v>26</v>
      </c>
      <c r="BT50" s="371">
        <v>35</v>
      </c>
      <c r="BU50" s="371">
        <v>26</v>
      </c>
      <c r="BV50" s="371">
        <v>39</v>
      </c>
      <c r="BW50" s="371">
        <v>97</v>
      </c>
      <c r="BX50" s="371">
        <v>115</v>
      </c>
      <c r="BY50" s="371">
        <v>97</v>
      </c>
      <c r="BZ50" s="371">
        <v>123</v>
      </c>
      <c r="CA50" s="371">
        <v>106</v>
      </c>
      <c r="CB50" s="371">
        <v>90</v>
      </c>
      <c r="CC50" s="371">
        <v>83</v>
      </c>
      <c r="CD50" s="371">
        <v>105</v>
      </c>
      <c r="CE50" s="371">
        <v>496</v>
      </c>
      <c r="CF50" s="371">
        <v>506</v>
      </c>
      <c r="CG50" s="371">
        <v>618</v>
      </c>
      <c r="CH50" s="371">
        <v>648</v>
      </c>
      <c r="CI50" s="371">
        <v>522</v>
      </c>
      <c r="CJ50" s="371">
        <v>622</v>
      </c>
      <c r="CK50" s="371">
        <v>510</v>
      </c>
      <c r="CL50" s="371">
        <v>493</v>
      </c>
      <c r="CM50" s="371">
        <v>573</v>
      </c>
      <c r="CN50" s="371">
        <v>549</v>
      </c>
      <c r="CO50" s="371">
        <v>498</v>
      </c>
      <c r="CP50" s="371">
        <v>371</v>
      </c>
      <c r="CQ50" s="371">
        <v>314</v>
      </c>
      <c r="CR50" s="371">
        <v>414</v>
      </c>
      <c r="CS50" s="371">
        <v>1</v>
      </c>
    </row>
    <row r="51" spans="2:97" hidden="1" x14ac:dyDescent="0.2">
      <c r="B51" s="369" t="s">
        <v>246</v>
      </c>
      <c r="C51" s="370">
        <v>1329</v>
      </c>
      <c r="D51" s="371">
        <v>6</v>
      </c>
      <c r="E51" s="371">
        <v>16</v>
      </c>
      <c r="F51" s="371">
        <v>10</v>
      </c>
      <c r="G51" s="371">
        <v>8</v>
      </c>
      <c r="H51" s="371">
        <v>7</v>
      </c>
      <c r="I51" s="371">
        <v>12</v>
      </c>
      <c r="J51" s="371">
        <v>6</v>
      </c>
      <c r="K51" s="371">
        <v>13</v>
      </c>
      <c r="L51" s="371">
        <v>12</v>
      </c>
      <c r="M51" s="371">
        <v>2</v>
      </c>
      <c r="N51" s="371">
        <v>6</v>
      </c>
      <c r="O51" s="371">
        <v>5</v>
      </c>
      <c r="P51" s="371">
        <v>10</v>
      </c>
      <c r="Q51" s="371">
        <v>9</v>
      </c>
      <c r="R51" s="371">
        <v>14</v>
      </c>
      <c r="S51" s="371">
        <v>59</v>
      </c>
      <c r="T51" s="371">
        <v>85</v>
      </c>
      <c r="U51" s="371">
        <v>99</v>
      </c>
      <c r="V51" s="371">
        <v>135</v>
      </c>
      <c r="W51" s="371">
        <v>98</v>
      </c>
      <c r="X51" s="371">
        <v>77</v>
      </c>
      <c r="Y51" s="371">
        <v>84</v>
      </c>
      <c r="Z51" s="371">
        <v>77</v>
      </c>
      <c r="AA51" s="371">
        <v>113</v>
      </c>
      <c r="AB51" s="371">
        <v>93</v>
      </c>
      <c r="AC51" s="371">
        <v>78</v>
      </c>
      <c r="AD51" s="371">
        <v>66</v>
      </c>
      <c r="AE51" s="371">
        <v>47</v>
      </c>
      <c r="AF51" s="371">
        <v>82</v>
      </c>
      <c r="AG51" s="371">
        <v>0</v>
      </c>
      <c r="AI51" s="370">
        <v>666</v>
      </c>
      <c r="AJ51" s="371">
        <v>5</v>
      </c>
      <c r="AK51" s="371">
        <v>6</v>
      </c>
      <c r="AL51" s="371">
        <v>5</v>
      </c>
      <c r="AM51" s="371">
        <v>5</v>
      </c>
      <c r="AN51" s="371">
        <v>2</v>
      </c>
      <c r="AO51" s="371">
        <v>7</v>
      </c>
      <c r="AP51" s="371">
        <v>1</v>
      </c>
      <c r="AQ51" s="371">
        <v>10</v>
      </c>
      <c r="AR51" s="371">
        <v>6</v>
      </c>
      <c r="AS51" s="371">
        <v>0</v>
      </c>
      <c r="AT51" s="371">
        <v>2</v>
      </c>
      <c r="AU51" s="371">
        <v>3</v>
      </c>
      <c r="AV51" s="371">
        <v>5</v>
      </c>
      <c r="AW51" s="371">
        <v>8</v>
      </c>
      <c r="AX51" s="371">
        <v>4</v>
      </c>
      <c r="AY51" s="371">
        <v>31</v>
      </c>
      <c r="AZ51" s="371">
        <v>47</v>
      </c>
      <c r="BA51" s="371">
        <v>50</v>
      </c>
      <c r="BB51" s="371">
        <v>72</v>
      </c>
      <c r="BC51" s="371">
        <v>52</v>
      </c>
      <c r="BD51" s="371">
        <v>31</v>
      </c>
      <c r="BE51" s="371">
        <v>46</v>
      </c>
      <c r="BF51" s="371">
        <v>40</v>
      </c>
      <c r="BG51" s="371">
        <v>52</v>
      </c>
      <c r="BH51" s="371">
        <v>48</v>
      </c>
      <c r="BI51" s="371">
        <v>36</v>
      </c>
      <c r="BJ51" s="371">
        <v>32</v>
      </c>
      <c r="BK51" s="371">
        <v>22</v>
      </c>
      <c r="BL51" s="371">
        <v>38</v>
      </c>
      <c r="BM51" s="371">
        <v>0</v>
      </c>
      <c r="BO51" s="370">
        <v>663</v>
      </c>
      <c r="BP51" s="371">
        <v>1</v>
      </c>
      <c r="BQ51" s="371">
        <v>10</v>
      </c>
      <c r="BR51" s="371">
        <v>5</v>
      </c>
      <c r="BS51" s="371">
        <v>3</v>
      </c>
      <c r="BT51" s="371">
        <v>5</v>
      </c>
      <c r="BU51" s="371">
        <v>5</v>
      </c>
      <c r="BV51" s="371">
        <v>5</v>
      </c>
      <c r="BW51" s="371">
        <v>3</v>
      </c>
      <c r="BX51" s="371">
        <v>6</v>
      </c>
      <c r="BY51" s="371">
        <v>2</v>
      </c>
      <c r="BZ51" s="371">
        <v>4</v>
      </c>
      <c r="CA51" s="371">
        <v>2</v>
      </c>
      <c r="CB51" s="371">
        <v>5</v>
      </c>
      <c r="CC51" s="371">
        <v>1</v>
      </c>
      <c r="CD51" s="371">
        <v>10</v>
      </c>
      <c r="CE51" s="371">
        <v>28</v>
      </c>
      <c r="CF51" s="371">
        <v>38</v>
      </c>
      <c r="CG51" s="371">
        <v>49</v>
      </c>
      <c r="CH51" s="371">
        <v>63</v>
      </c>
      <c r="CI51" s="371">
        <v>46</v>
      </c>
      <c r="CJ51" s="371">
        <v>46</v>
      </c>
      <c r="CK51" s="371">
        <v>38</v>
      </c>
      <c r="CL51" s="371">
        <v>37</v>
      </c>
      <c r="CM51" s="371">
        <v>61</v>
      </c>
      <c r="CN51" s="371">
        <v>45</v>
      </c>
      <c r="CO51" s="371">
        <v>42</v>
      </c>
      <c r="CP51" s="371">
        <v>34</v>
      </c>
      <c r="CQ51" s="371">
        <v>25</v>
      </c>
      <c r="CR51" s="371">
        <v>44</v>
      </c>
      <c r="CS51" s="371">
        <v>0</v>
      </c>
    </row>
    <row r="52" spans="2:97" hidden="1" x14ac:dyDescent="0.2">
      <c r="B52" s="369" t="s">
        <v>247</v>
      </c>
      <c r="C52" s="370">
        <v>680</v>
      </c>
      <c r="D52" s="371">
        <v>3</v>
      </c>
      <c r="E52" s="371">
        <v>4</v>
      </c>
      <c r="F52" s="371">
        <v>11</v>
      </c>
      <c r="G52" s="371">
        <v>7</v>
      </c>
      <c r="H52" s="371">
        <v>9</v>
      </c>
      <c r="I52" s="371">
        <v>8</v>
      </c>
      <c r="J52" s="371">
        <v>12</v>
      </c>
      <c r="K52" s="371">
        <v>12</v>
      </c>
      <c r="L52" s="371">
        <v>11</v>
      </c>
      <c r="M52" s="371">
        <v>9</v>
      </c>
      <c r="N52" s="371">
        <v>4</v>
      </c>
      <c r="O52" s="371">
        <v>5</v>
      </c>
      <c r="P52" s="371">
        <v>7</v>
      </c>
      <c r="Q52" s="371">
        <v>6</v>
      </c>
      <c r="R52" s="371">
        <v>7</v>
      </c>
      <c r="S52" s="371">
        <v>37</v>
      </c>
      <c r="T52" s="371">
        <v>47</v>
      </c>
      <c r="U52" s="371">
        <v>56</v>
      </c>
      <c r="V52" s="371">
        <v>48</v>
      </c>
      <c r="W52" s="371">
        <v>62</v>
      </c>
      <c r="X52" s="371">
        <v>58</v>
      </c>
      <c r="Y52" s="371">
        <v>45</v>
      </c>
      <c r="Z52" s="371">
        <v>32</v>
      </c>
      <c r="AA52" s="371">
        <v>37</v>
      </c>
      <c r="AB52" s="371">
        <v>46</v>
      </c>
      <c r="AC52" s="371">
        <v>42</v>
      </c>
      <c r="AD52" s="371">
        <v>28</v>
      </c>
      <c r="AE52" s="371">
        <v>14</v>
      </c>
      <c r="AF52" s="371">
        <v>13</v>
      </c>
      <c r="AG52" s="371">
        <v>0</v>
      </c>
      <c r="AI52" s="370">
        <v>353</v>
      </c>
      <c r="AJ52" s="371">
        <v>3</v>
      </c>
      <c r="AK52" s="371">
        <v>2</v>
      </c>
      <c r="AL52" s="371">
        <v>5</v>
      </c>
      <c r="AM52" s="371">
        <v>2</v>
      </c>
      <c r="AN52" s="371">
        <v>6</v>
      </c>
      <c r="AO52" s="371">
        <v>3</v>
      </c>
      <c r="AP52" s="371">
        <v>9</v>
      </c>
      <c r="AQ52" s="371">
        <v>7</v>
      </c>
      <c r="AR52" s="371">
        <v>7</v>
      </c>
      <c r="AS52" s="371">
        <v>4</v>
      </c>
      <c r="AT52" s="371">
        <v>1</v>
      </c>
      <c r="AU52" s="371">
        <v>3</v>
      </c>
      <c r="AV52" s="371">
        <v>4</v>
      </c>
      <c r="AW52" s="371">
        <v>4</v>
      </c>
      <c r="AX52" s="371">
        <v>3</v>
      </c>
      <c r="AY52" s="371">
        <v>24</v>
      </c>
      <c r="AZ52" s="371">
        <v>22</v>
      </c>
      <c r="BA52" s="371">
        <v>27</v>
      </c>
      <c r="BB52" s="371">
        <v>24</v>
      </c>
      <c r="BC52" s="371">
        <v>29</v>
      </c>
      <c r="BD52" s="371">
        <v>34</v>
      </c>
      <c r="BE52" s="371">
        <v>21</v>
      </c>
      <c r="BF52" s="371">
        <v>14</v>
      </c>
      <c r="BG52" s="371">
        <v>16</v>
      </c>
      <c r="BH52" s="371">
        <v>22</v>
      </c>
      <c r="BI52" s="371">
        <v>24</v>
      </c>
      <c r="BJ52" s="371">
        <v>16</v>
      </c>
      <c r="BK52" s="371">
        <v>10</v>
      </c>
      <c r="BL52" s="371">
        <v>7</v>
      </c>
      <c r="BM52" s="371">
        <v>0</v>
      </c>
      <c r="BO52" s="370">
        <v>327</v>
      </c>
      <c r="BP52" s="371">
        <v>0</v>
      </c>
      <c r="BQ52" s="371">
        <v>2</v>
      </c>
      <c r="BR52" s="371">
        <v>6</v>
      </c>
      <c r="BS52" s="371">
        <v>5</v>
      </c>
      <c r="BT52" s="371">
        <v>3</v>
      </c>
      <c r="BU52" s="371">
        <v>5</v>
      </c>
      <c r="BV52" s="371">
        <v>3</v>
      </c>
      <c r="BW52" s="371">
        <v>5</v>
      </c>
      <c r="BX52" s="371">
        <v>4</v>
      </c>
      <c r="BY52" s="371">
        <v>5</v>
      </c>
      <c r="BZ52" s="371">
        <v>3</v>
      </c>
      <c r="CA52" s="371">
        <v>2</v>
      </c>
      <c r="CB52" s="371">
        <v>3</v>
      </c>
      <c r="CC52" s="371">
        <v>2</v>
      </c>
      <c r="CD52" s="371">
        <v>4</v>
      </c>
      <c r="CE52" s="371">
        <v>13</v>
      </c>
      <c r="CF52" s="371">
        <v>25</v>
      </c>
      <c r="CG52" s="371">
        <v>29</v>
      </c>
      <c r="CH52" s="371">
        <v>24</v>
      </c>
      <c r="CI52" s="371">
        <v>33</v>
      </c>
      <c r="CJ52" s="371">
        <v>24</v>
      </c>
      <c r="CK52" s="371">
        <v>24</v>
      </c>
      <c r="CL52" s="371">
        <v>18</v>
      </c>
      <c r="CM52" s="371">
        <v>21</v>
      </c>
      <c r="CN52" s="371">
        <v>24</v>
      </c>
      <c r="CO52" s="371">
        <v>18</v>
      </c>
      <c r="CP52" s="371">
        <v>12</v>
      </c>
      <c r="CQ52" s="371">
        <v>4</v>
      </c>
      <c r="CR52" s="371">
        <v>6</v>
      </c>
      <c r="CS52" s="371">
        <v>0</v>
      </c>
    </row>
    <row r="53" spans="2:97" hidden="1" x14ac:dyDescent="0.2">
      <c r="B53" s="369" t="s">
        <v>248</v>
      </c>
      <c r="C53" s="370">
        <v>671</v>
      </c>
      <c r="D53" s="371">
        <v>8</v>
      </c>
      <c r="E53" s="371">
        <v>4</v>
      </c>
      <c r="F53" s="371">
        <v>2</v>
      </c>
      <c r="G53" s="371">
        <v>6</v>
      </c>
      <c r="H53" s="371">
        <v>4</v>
      </c>
      <c r="I53" s="371">
        <v>7</v>
      </c>
      <c r="J53" s="371">
        <v>9</v>
      </c>
      <c r="K53" s="371">
        <v>6</v>
      </c>
      <c r="L53" s="371">
        <v>6</v>
      </c>
      <c r="M53" s="371">
        <v>4</v>
      </c>
      <c r="N53" s="371">
        <v>3</v>
      </c>
      <c r="O53" s="371">
        <v>11</v>
      </c>
      <c r="P53" s="371">
        <v>2</v>
      </c>
      <c r="Q53" s="371">
        <v>2</v>
      </c>
      <c r="R53" s="371">
        <v>4</v>
      </c>
      <c r="S53" s="371">
        <v>33</v>
      </c>
      <c r="T53" s="371">
        <v>45</v>
      </c>
      <c r="U53" s="371">
        <v>42</v>
      </c>
      <c r="V53" s="371">
        <v>45</v>
      </c>
      <c r="W53" s="371">
        <v>37</v>
      </c>
      <c r="X53" s="371">
        <v>65</v>
      </c>
      <c r="Y53" s="371">
        <v>51</v>
      </c>
      <c r="Z53" s="371">
        <v>37</v>
      </c>
      <c r="AA53" s="371">
        <v>44</v>
      </c>
      <c r="AB53" s="371">
        <v>41</v>
      </c>
      <c r="AC53" s="371">
        <v>55</v>
      </c>
      <c r="AD53" s="371">
        <v>30</v>
      </c>
      <c r="AE53" s="371">
        <v>29</v>
      </c>
      <c r="AF53" s="371">
        <v>39</v>
      </c>
      <c r="AG53" s="371">
        <v>0</v>
      </c>
      <c r="AI53" s="370">
        <v>333</v>
      </c>
      <c r="AJ53" s="371">
        <v>5</v>
      </c>
      <c r="AK53" s="371">
        <v>1</v>
      </c>
      <c r="AL53" s="371">
        <v>1</v>
      </c>
      <c r="AM53" s="371">
        <v>2</v>
      </c>
      <c r="AN53" s="371">
        <v>1</v>
      </c>
      <c r="AO53" s="371">
        <v>4</v>
      </c>
      <c r="AP53" s="371">
        <v>5</v>
      </c>
      <c r="AQ53" s="371">
        <v>3</v>
      </c>
      <c r="AR53" s="371">
        <v>3</v>
      </c>
      <c r="AS53" s="371">
        <v>1</v>
      </c>
      <c r="AT53" s="371">
        <v>2</v>
      </c>
      <c r="AU53" s="371">
        <v>5</v>
      </c>
      <c r="AV53" s="371">
        <v>2</v>
      </c>
      <c r="AW53" s="371">
        <v>0</v>
      </c>
      <c r="AX53" s="371">
        <v>3</v>
      </c>
      <c r="AY53" s="371">
        <v>15</v>
      </c>
      <c r="AZ53" s="371">
        <v>23</v>
      </c>
      <c r="BA53" s="371">
        <v>15</v>
      </c>
      <c r="BB53" s="371">
        <v>23</v>
      </c>
      <c r="BC53" s="371">
        <v>13</v>
      </c>
      <c r="BD53" s="371">
        <v>38</v>
      </c>
      <c r="BE53" s="371">
        <v>26</v>
      </c>
      <c r="BF53" s="371">
        <v>15</v>
      </c>
      <c r="BG53" s="371">
        <v>24</v>
      </c>
      <c r="BH53" s="371">
        <v>21</v>
      </c>
      <c r="BI53" s="371">
        <v>31</v>
      </c>
      <c r="BJ53" s="371">
        <v>19</v>
      </c>
      <c r="BK53" s="371">
        <v>16</v>
      </c>
      <c r="BL53" s="371">
        <v>16</v>
      </c>
      <c r="BM53" s="371">
        <v>0</v>
      </c>
      <c r="BO53" s="370">
        <v>338</v>
      </c>
      <c r="BP53" s="371">
        <v>3</v>
      </c>
      <c r="BQ53" s="371">
        <v>3</v>
      </c>
      <c r="BR53" s="371">
        <v>1</v>
      </c>
      <c r="BS53" s="371">
        <v>4</v>
      </c>
      <c r="BT53" s="371">
        <v>3</v>
      </c>
      <c r="BU53" s="371">
        <v>3</v>
      </c>
      <c r="BV53" s="371">
        <v>4</v>
      </c>
      <c r="BW53" s="371">
        <v>3</v>
      </c>
      <c r="BX53" s="371">
        <v>3</v>
      </c>
      <c r="BY53" s="371">
        <v>3</v>
      </c>
      <c r="BZ53" s="371">
        <v>1</v>
      </c>
      <c r="CA53" s="371">
        <v>6</v>
      </c>
      <c r="CB53" s="371">
        <v>0</v>
      </c>
      <c r="CC53" s="371">
        <v>2</v>
      </c>
      <c r="CD53" s="371">
        <v>1</v>
      </c>
      <c r="CE53" s="371">
        <v>18</v>
      </c>
      <c r="CF53" s="371">
        <v>22</v>
      </c>
      <c r="CG53" s="371">
        <v>27</v>
      </c>
      <c r="CH53" s="371">
        <v>22</v>
      </c>
      <c r="CI53" s="371">
        <v>24</v>
      </c>
      <c r="CJ53" s="371">
        <v>27</v>
      </c>
      <c r="CK53" s="371">
        <v>25</v>
      </c>
      <c r="CL53" s="371">
        <v>22</v>
      </c>
      <c r="CM53" s="371">
        <v>20</v>
      </c>
      <c r="CN53" s="371">
        <v>20</v>
      </c>
      <c r="CO53" s="371">
        <v>24</v>
      </c>
      <c r="CP53" s="371">
        <v>11</v>
      </c>
      <c r="CQ53" s="371">
        <v>13</v>
      </c>
      <c r="CR53" s="371">
        <v>23</v>
      </c>
      <c r="CS53" s="371">
        <v>0</v>
      </c>
    </row>
    <row r="54" spans="2:97" ht="15.75" hidden="1" customHeight="1" x14ac:dyDescent="0.2">
      <c r="B54" s="372" t="s">
        <v>249</v>
      </c>
      <c r="C54" s="373">
        <v>18101</v>
      </c>
      <c r="D54" s="373">
        <v>54</v>
      </c>
      <c r="E54" s="373">
        <v>82</v>
      </c>
      <c r="F54" s="373">
        <v>75</v>
      </c>
      <c r="G54" s="373">
        <v>88</v>
      </c>
      <c r="H54" s="373">
        <v>100</v>
      </c>
      <c r="I54" s="373">
        <v>80</v>
      </c>
      <c r="J54" s="373">
        <v>81</v>
      </c>
      <c r="K54" s="373">
        <v>239</v>
      </c>
      <c r="L54" s="373">
        <v>255</v>
      </c>
      <c r="M54" s="373">
        <v>212</v>
      </c>
      <c r="N54" s="373">
        <v>231</v>
      </c>
      <c r="O54" s="373">
        <v>227</v>
      </c>
      <c r="P54" s="373">
        <v>226</v>
      </c>
      <c r="Q54" s="373">
        <v>195</v>
      </c>
      <c r="R54" s="373">
        <v>243</v>
      </c>
      <c r="S54" s="373">
        <v>1078</v>
      </c>
      <c r="T54" s="373">
        <v>1197</v>
      </c>
      <c r="U54" s="373">
        <v>1395</v>
      </c>
      <c r="V54" s="373">
        <v>1408</v>
      </c>
      <c r="W54" s="373">
        <v>1241</v>
      </c>
      <c r="X54" s="373">
        <v>1310</v>
      </c>
      <c r="Y54" s="373">
        <v>1160</v>
      </c>
      <c r="Z54" s="373">
        <v>1066</v>
      </c>
      <c r="AA54" s="373">
        <v>1273</v>
      </c>
      <c r="AB54" s="373">
        <v>1236</v>
      </c>
      <c r="AC54" s="373">
        <v>1087</v>
      </c>
      <c r="AD54" s="373">
        <v>785</v>
      </c>
      <c r="AE54" s="373">
        <v>640</v>
      </c>
      <c r="AF54" s="373">
        <v>833</v>
      </c>
      <c r="AG54" s="373">
        <v>4</v>
      </c>
      <c r="AI54" s="373">
        <v>8624</v>
      </c>
      <c r="AJ54" s="373">
        <v>32</v>
      </c>
      <c r="AK54" s="373">
        <v>41</v>
      </c>
      <c r="AL54" s="373">
        <v>35</v>
      </c>
      <c r="AM54" s="373">
        <v>50</v>
      </c>
      <c r="AN54" s="373">
        <v>54</v>
      </c>
      <c r="AO54" s="373">
        <v>41</v>
      </c>
      <c r="AP54" s="373">
        <v>30</v>
      </c>
      <c r="AQ54" s="373">
        <v>131</v>
      </c>
      <c r="AR54" s="373">
        <v>127</v>
      </c>
      <c r="AS54" s="373">
        <v>105</v>
      </c>
      <c r="AT54" s="373">
        <v>100</v>
      </c>
      <c r="AU54" s="373">
        <v>111</v>
      </c>
      <c r="AV54" s="373">
        <v>128</v>
      </c>
      <c r="AW54" s="373">
        <v>107</v>
      </c>
      <c r="AX54" s="373">
        <v>123</v>
      </c>
      <c r="AY54" s="373">
        <v>523</v>
      </c>
      <c r="AZ54" s="373">
        <v>606</v>
      </c>
      <c r="BA54" s="373">
        <v>672</v>
      </c>
      <c r="BB54" s="373">
        <v>651</v>
      </c>
      <c r="BC54" s="373">
        <v>616</v>
      </c>
      <c r="BD54" s="373">
        <v>591</v>
      </c>
      <c r="BE54" s="373">
        <v>563</v>
      </c>
      <c r="BF54" s="373">
        <v>496</v>
      </c>
      <c r="BG54" s="373">
        <v>598</v>
      </c>
      <c r="BH54" s="373">
        <v>598</v>
      </c>
      <c r="BI54" s="373">
        <v>505</v>
      </c>
      <c r="BJ54" s="373">
        <v>357</v>
      </c>
      <c r="BK54" s="373">
        <v>284</v>
      </c>
      <c r="BL54" s="373">
        <v>346</v>
      </c>
      <c r="BM54" s="373">
        <v>3</v>
      </c>
      <c r="BO54" s="373">
        <v>9477</v>
      </c>
      <c r="BP54" s="373">
        <v>22</v>
      </c>
      <c r="BQ54" s="373">
        <v>41</v>
      </c>
      <c r="BR54" s="373">
        <v>40</v>
      </c>
      <c r="BS54" s="373">
        <v>38</v>
      </c>
      <c r="BT54" s="373">
        <v>46</v>
      </c>
      <c r="BU54" s="373">
        <v>39</v>
      </c>
      <c r="BV54" s="373">
        <v>51</v>
      </c>
      <c r="BW54" s="373">
        <v>108</v>
      </c>
      <c r="BX54" s="373">
        <v>128</v>
      </c>
      <c r="BY54" s="373">
        <v>107</v>
      </c>
      <c r="BZ54" s="373">
        <v>131</v>
      </c>
      <c r="CA54" s="373">
        <v>116</v>
      </c>
      <c r="CB54" s="373">
        <v>98</v>
      </c>
      <c r="CC54" s="373">
        <v>88</v>
      </c>
      <c r="CD54" s="373">
        <v>120</v>
      </c>
      <c r="CE54" s="373">
        <v>555</v>
      </c>
      <c r="CF54" s="373">
        <v>591</v>
      </c>
      <c r="CG54" s="373">
        <v>723</v>
      </c>
      <c r="CH54" s="373">
        <v>757</v>
      </c>
      <c r="CI54" s="373">
        <v>625</v>
      </c>
      <c r="CJ54" s="373">
        <v>719</v>
      </c>
      <c r="CK54" s="373">
        <v>597</v>
      </c>
      <c r="CL54" s="373">
        <v>570</v>
      </c>
      <c r="CM54" s="373">
        <v>675</v>
      </c>
      <c r="CN54" s="373">
        <v>638</v>
      </c>
      <c r="CO54" s="373">
        <v>582</v>
      </c>
      <c r="CP54" s="373">
        <v>428</v>
      </c>
      <c r="CQ54" s="373">
        <v>356</v>
      </c>
      <c r="CR54" s="373">
        <v>487</v>
      </c>
      <c r="CS54" s="373">
        <v>1</v>
      </c>
    </row>
    <row r="55" spans="2:97" ht="15.75" hidden="1" customHeight="1" x14ac:dyDescent="0.2">
      <c r="B55" s="369"/>
      <c r="C55" s="370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I55" s="370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1"/>
      <c r="BO55" s="370"/>
      <c r="BP55" s="371"/>
      <c r="BQ55" s="371"/>
      <c r="BR55" s="371"/>
      <c r="BS55" s="371"/>
      <c r="BT55" s="371"/>
      <c r="BU55" s="371"/>
      <c r="BV55" s="371"/>
      <c r="BW55" s="371"/>
      <c r="BX55" s="371"/>
      <c r="BY55" s="371"/>
      <c r="BZ55" s="371"/>
      <c r="CA55" s="371"/>
      <c r="CB55" s="371"/>
      <c r="CC55" s="371"/>
      <c r="CD55" s="371"/>
      <c r="CE55" s="371"/>
      <c r="CF55" s="371"/>
      <c r="CG55" s="371"/>
      <c r="CH55" s="371"/>
      <c r="CI55" s="371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</row>
    <row r="56" spans="2:97" ht="15.75" hidden="1" customHeight="1" x14ac:dyDescent="0.2">
      <c r="B56" s="369" t="s">
        <v>250</v>
      </c>
      <c r="C56" s="370">
        <v>16197.879809799997</v>
      </c>
      <c r="D56" s="371">
        <v>176.40107419999998</v>
      </c>
      <c r="E56" s="371">
        <v>177.65436779999999</v>
      </c>
      <c r="F56" s="371">
        <v>179.8476316</v>
      </c>
      <c r="G56" s="371">
        <v>183.92083579999999</v>
      </c>
      <c r="H56" s="371">
        <v>187.36739319999998</v>
      </c>
      <c r="I56" s="371">
        <v>189.56065699999999</v>
      </c>
      <c r="J56" s="371">
        <v>193.00721440000001</v>
      </c>
      <c r="K56" s="371">
        <v>201.15362279999999</v>
      </c>
      <c r="L56" s="371">
        <v>216.19314599999998</v>
      </c>
      <c r="M56" s="371">
        <v>221.51964379999998</v>
      </c>
      <c r="N56" s="371">
        <v>217.13311619999999</v>
      </c>
      <c r="O56" s="371">
        <v>215.87982259999998</v>
      </c>
      <c r="P56" s="371">
        <v>219.63970339999997</v>
      </c>
      <c r="Q56" s="371">
        <v>217.75976299999999</v>
      </c>
      <c r="R56" s="371">
        <v>217.75976299999999</v>
      </c>
      <c r="S56" s="371">
        <v>1011.4079351999999</v>
      </c>
      <c r="T56" s="371">
        <v>1024.2541945999999</v>
      </c>
      <c r="U56" s="371">
        <v>1082.5323469999998</v>
      </c>
      <c r="V56" s="371">
        <v>1123.5777123999999</v>
      </c>
      <c r="W56" s="371">
        <v>1152.4034652</v>
      </c>
      <c r="X56" s="371">
        <v>1169.3229288</v>
      </c>
      <c r="Y56" s="371">
        <v>1043.6802453999999</v>
      </c>
      <c r="Z56" s="371">
        <v>979.13562499999989</v>
      </c>
      <c r="AA56" s="371">
        <v>949.99654879999991</v>
      </c>
      <c r="AB56" s="371">
        <v>895.16495379999992</v>
      </c>
      <c r="AC56" s="371">
        <v>827.17377599999986</v>
      </c>
      <c r="AD56" s="371">
        <v>715.63064559999998</v>
      </c>
      <c r="AE56" s="371">
        <v>524.50337160000004</v>
      </c>
      <c r="AF56" s="371">
        <v>684.29830560000005</v>
      </c>
      <c r="AG56" s="371">
        <v>0</v>
      </c>
      <c r="AI56" s="370">
        <v>7877.5769227999999</v>
      </c>
      <c r="AJ56" s="371">
        <v>84.910641400000003</v>
      </c>
      <c r="AK56" s="371">
        <v>86.790581799999998</v>
      </c>
      <c r="AL56" s="371">
        <v>89.9238158</v>
      </c>
      <c r="AM56" s="371">
        <v>94.623666799999995</v>
      </c>
      <c r="AN56" s="371">
        <v>97.443577399999995</v>
      </c>
      <c r="AO56" s="371">
        <v>98.070224199999998</v>
      </c>
      <c r="AP56" s="371">
        <v>98.070224199999998</v>
      </c>
      <c r="AQ56" s="371">
        <v>101.2034582</v>
      </c>
      <c r="AR56" s="371">
        <v>109.0365432</v>
      </c>
      <c r="AS56" s="371">
        <v>112.4831006</v>
      </c>
      <c r="AT56" s="371">
        <v>110.91648359999999</v>
      </c>
      <c r="AU56" s="371">
        <v>109.3498666</v>
      </c>
      <c r="AV56" s="371">
        <v>110.91648359999999</v>
      </c>
      <c r="AW56" s="371">
        <v>109.3498666</v>
      </c>
      <c r="AX56" s="371">
        <v>110.28983679999999</v>
      </c>
      <c r="AY56" s="371">
        <v>513.22372919999998</v>
      </c>
      <c r="AZ56" s="371">
        <v>516.98361</v>
      </c>
      <c r="BA56" s="371">
        <v>545.80936279999992</v>
      </c>
      <c r="BB56" s="371">
        <v>568.99529439999992</v>
      </c>
      <c r="BC56" s="371">
        <v>557.71565199999998</v>
      </c>
      <c r="BD56" s="371">
        <v>582.78152399999999</v>
      </c>
      <c r="BE56" s="371">
        <v>518.86355039999989</v>
      </c>
      <c r="BF56" s="371">
        <v>471.55171699999994</v>
      </c>
      <c r="BG56" s="371">
        <v>460.58539799999994</v>
      </c>
      <c r="BH56" s="371">
        <v>405.1271562</v>
      </c>
      <c r="BI56" s="371">
        <v>379.43463739999999</v>
      </c>
      <c r="BJ56" s="371">
        <v>331.80948059999997</v>
      </c>
      <c r="BK56" s="371">
        <v>247.2121626</v>
      </c>
      <c r="BL56" s="371">
        <v>254.10527740000001</v>
      </c>
      <c r="BM56" s="371">
        <v>0</v>
      </c>
      <c r="BO56" s="370">
        <v>8320.302886999998</v>
      </c>
      <c r="BP56" s="371">
        <v>91.490432799999994</v>
      </c>
      <c r="BQ56" s="371">
        <v>90.863786000000005</v>
      </c>
      <c r="BR56" s="371">
        <v>89.9238158</v>
      </c>
      <c r="BS56" s="371">
        <v>89.297168999999997</v>
      </c>
      <c r="BT56" s="371">
        <v>89.9238158</v>
      </c>
      <c r="BU56" s="371">
        <v>91.490432799999994</v>
      </c>
      <c r="BV56" s="371">
        <v>94.936990199999997</v>
      </c>
      <c r="BW56" s="371">
        <v>99.950164599999994</v>
      </c>
      <c r="BX56" s="371">
        <v>107.15660279999999</v>
      </c>
      <c r="BY56" s="371">
        <v>109.0365432</v>
      </c>
      <c r="BZ56" s="371">
        <v>106.2166326</v>
      </c>
      <c r="CA56" s="371">
        <v>106.52995599999998</v>
      </c>
      <c r="CB56" s="371">
        <v>108.72321979999998</v>
      </c>
      <c r="CC56" s="371">
        <v>108.40989639999999</v>
      </c>
      <c r="CD56" s="371">
        <v>107.4699262</v>
      </c>
      <c r="CE56" s="371">
        <v>498.18420599999996</v>
      </c>
      <c r="CF56" s="371">
        <v>507.27058459999995</v>
      </c>
      <c r="CG56" s="371">
        <v>536.72298419999993</v>
      </c>
      <c r="CH56" s="371">
        <v>554.58241799999996</v>
      </c>
      <c r="CI56" s="371">
        <v>594.68781319999994</v>
      </c>
      <c r="CJ56" s="371">
        <v>586.54140480000001</v>
      </c>
      <c r="CK56" s="371">
        <v>524.81669499999998</v>
      </c>
      <c r="CL56" s="371">
        <v>507.58390800000001</v>
      </c>
      <c r="CM56" s="371">
        <v>489.41115079999997</v>
      </c>
      <c r="CN56" s="371">
        <v>490.03779759999998</v>
      </c>
      <c r="CO56" s="371">
        <v>447.73913859999993</v>
      </c>
      <c r="CP56" s="371">
        <v>383.82116500000001</v>
      </c>
      <c r="CQ56" s="371">
        <v>277.29120899999998</v>
      </c>
      <c r="CR56" s="371">
        <v>430.19302820000001</v>
      </c>
      <c r="CS56" s="371">
        <v>0</v>
      </c>
    </row>
    <row r="57" spans="2:97" ht="15.75" hidden="1" customHeight="1" x14ac:dyDescent="0.2">
      <c r="B57" s="369" t="s">
        <v>251</v>
      </c>
      <c r="C57" s="370">
        <v>23360</v>
      </c>
      <c r="D57" s="371">
        <v>141</v>
      </c>
      <c r="E57" s="371">
        <v>197</v>
      </c>
      <c r="F57" s="371">
        <v>231</v>
      </c>
      <c r="G57" s="371">
        <v>287</v>
      </c>
      <c r="H57" s="371">
        <v>293</v>
      </c>
      <c r="I57" s="371">
        <v>351</v>
      </c>
      <c r="J57" s="371">
        <v>322</v>
      </c>
      <c r="K57" s="371">
        <v>339</v>
      </c>
      <c r="L57" s="371">
        <v>358</v>
      </c>
      <c r="M57" s="371">
        <v>347</v>
      </c>
      <c r="N57" s="371">
        <v>341</v>
      </c>
      <c r="O57" s="371">
        <v>348</v>
      </c>
      <c r="P57" s="371">
        <v>373</v>
      </c>
      <c r="Q57" s="371">
        <v>375</v>
      </c>
      <c r="R57" s="371">
        <v>350</v>
      </c>
      <c r="S57" s="371">
        <v>1672</v>
      </c>
      <c r="T57" s="371">
        <v>1542</v>
      </c>
      <c r="U57" s="371">
        <v>1637</v>
      </c>
      <c r="V57" s="371">
        <v>1745</v>
      </c>
      <c r="W57" s="371">
        <v>1567</v>
      </c>
      <c r="X57" s="371">
        <v>1534</v>
      </c>
      <c r="Y57" s="371">
        <v>1399</v>
      </c>
      <c r="Z57" s="371">
        <v>1350</v>
      </c>
      <c r="AA57" s="371">
        <v>1469</v>
      </c>
      <c r="AB57" s="371">
        <v>1378</v>
      </c>
      <c r="AC57" s="371">
        <v>1096</v>
      </c>
      <c r="AD57" s="371">
        <v>860</v>
      </c>
      <c r="AE57" s="371">
        <v>667</v>
      </c>
      <c r="AF57" s="371">
        <v>791</v>
      </c>
      <c r="AG57" s="371">
        <v>0</v>
      </c>
      <c r="AI57" s="370">
        <v>10252</v>
      </c>
      <c r="AJ57" s="371">
        <v>66</v>
      </c>
      <c r="AK57" s="371">
        <v>101</v>
      </c>
      <c r="AL57" s="371">
        <v>116</v>
      </c>
      <c r="AM57" s="371">
        <v>158</v>
      </c>
      <c r="AN57" s="371">
        <v>150</v>
      </c>
      <c r="AO57" s="371">
        <v>172</v>
      </c>
      <c r="AP57" s="371">
        <v>157</v>
      </c>
      <c r="AQ57" s="371">
        <v>160</v>
      </c>
      <c r="AR57" s="371">
        <v>172</v>
      </c>
      <c r="AS57" s="371">
        <v>177</v>
      </c>
      <c r="AT57" s="371">
        <v>171</v>
      </c>
      <c r="AU57" s="371">
        <v>182</v>
      </c>
      <c r="AV57" s="371">
        <v>208</v>
      </c>
      <c r="AW57" s="371">
        <v>176</v>
      </c>
      <c r="AX57" s="371">
        <v>175</v>
      </c>
      <c r="AY57" s="371">
        <v>807</v>
      </c>
      <c r="AZ57" s="371">
        <v>721</v>
      </c>
      <c r="BA57" s="371">
        <v>692</v>
      </c>
      <c r="BB57" s="371">
        <v>683</v>
      </c>
      <c r="BC57" s="371">
        <v>641</v>
      </c>
      <c r="BD57" s="371">
        <v>636</v>
      </c>
      <c r="BE57" s="371">
        <v>543</v>
      </c>
      <c r="BF57" s="371">
        <v>551</v>
      </c>
      <c r="BG57" s="371">
        <v>635</v>
      </c>
      <c r="BH57" s="371">
        <v>568</v>
      </c>
      <c r="BI57" s="371">
        <v>474</v>
      </c>
      <c r="BJ57" s="371">
        <v>376</v>
      </c>
      <c r="BK57" s="371">
        <v>285</v>
      </c>
      <c r="BL57" s="371">
        <v>299</v>
      </c>
      <c r="BM57" s="371">
        <v>0</v>
      </c>
      <c r="BO57" s="370">
        <v>13108</v>
      </c>
      <c r="BP57" s="371">
        <v>75</v>
      </c>
      <c r="BQ57" s="371">
        <v>96</v>
      </c>
      <c r="BR57" s="371">
        <v>115</v>
      </c>
      <c r="BS57" s="371">
        <v>129</v>
      </c>
      <c r="BT57" s="371">
        <v>143</v>
      </c>
      <c r="BU57" s="371">
        <v>179</v>
      </c>
      <c r="BV57" s="371">
        <v>165</v>
      </c>
      <c r="BW57" s="371">
        <v>179</v>
      </c>
      <c r="BX57" s="371">
        <v>186</v>
      </c>
      <c r="BY57" s="371">
        <v>170</v>
      </c>
      <c r="BZ57" s="371">
        <v>170</v>
      </c>
      <c r="CA57" s="371">
        <v>166</v>
      </c>
      <c r="CB57" s="371">
        <v>165</v>
      </c>
      <c r="CC57" s="371">
        <v>199</v>
      </c>
      <c r="CD57" s="371">
        <v>175</v>
      </c>
      <c r="CE57" s="371">
        <v>865</v>
      </c>
      <c r="CF57" s="371">
        <v>821</v>
      </c>
      <c r="CG57" s="371">
        <v>945</v>
      </c>
      <c r="CH57" s="371">
        <v>1062</v>
      </c>
      <c r="CI57" s="371">
        <v>926</v>
      </c>
      <c r="CJ57" s="371">
        <v>898</v>
      </c>
      <c r="CK57" s="371">
        <v>856</v>
      </c>
      <c r="CL57" s="371">
        <v>799</v>
      </c>
      <c r="CM57" s="371">
        <v>834</v>
      </c>
      <c r="CN57" s="371">
        <v>810</v>
      </c>
      <c r="CO57" s="371">
        <v>622</v>
      </c>
      <c r="CP57" s="371">
        <v>484</v>
      </c>
      <c r="CQ57" s="371">
        <v>382</v>
      </c>
      <c r="CR57" s="371">
        <v>492</v>
      </c>
      <c r="CS57" s="371">
        <v>0</v>
      </c>
    </row>
    <row r="58" spans="2:97" ht="16.5" hidden="1" customHeight="1" x14ac:dyDescent="0.2">
      <c r="B58" s="372" t="s">
        <v>252</v>
      </c>
      <c r="C58" s="370">
        <v>39557.879809799997</v>
      </c>
      <c r="D58" s="374">
        <v>317.40107419999998</v>
      </c>
      <c r="E58" s="374">
        <v>374.65436779999999</v>
      </c>
      <c r="F58" s="374">
        <v>410.8476316</v>
      </c>
      <c r="G58" s="374">
        <v>470.92083579999996</v>
      </c>
      <c r="H58" s="374">
        <v>480.36739319999998</v>
      </c>
      <c r="I58" s="374">
        <v>540.56065699999999</v>
      </c>
      <c r="J58" s="374">
        <v>515.00721440000007</v>
      </c>
      <c r="K58" s="374">
        <v>540.15362279999999</v>
      </c>
      <c r="L58" s="374">
        <v>574.19314599999996</v>
      </c>
      <c r="M58" s="374">
        <v>568.51964380000004</v>
      </c>
      <c r="N58" s="374">
        <v>558.13311620000002</v>
      </c>
      <c r="O58" s="374">
        <v>563.87982260000001</v>
      </c>
      <c r="P58" s="374">
        <v>592.63970339999992</v>
      </c>
      <c r="Q58" s="374">
        <v>592.75976300000002</v>
      </c>
      <c r="R58" s="374">
        <v>567.75976300000002</v>
      </c>
      <c r="S58" s="374">
        <v>2683.4079351999999</v>
      </c>
      <c r="T58" s="374">
        <v>2566.2541946000001</v>
      </c>
      <c r="U58" s="374">
        <v>2719.5323469999998</v>
      </c>
      <c r="V58" s="374">
        <v>2868.5777123999997</v>
      </c>
      <c r="W58" s="374">
        <v>2719.4034652</v>
      </c>
      <c r="X58" s="374">
        <v>2703.3229288000002</v>
      </c>
      <c r="Y58" s="374">
        <v>2442.6802453999999</v>
      </c>
      <c r="Z58" s="374">
        <v>2329.1356249999999</v>
      </c>
      <c r="AA58" s="374">
        <v>2418.9965487999998</v>
      </c>
      <c r="AB58" s="374">
        <v>2273.1649538000001</v>
      </c>
      <c r="AC58" s="374">
        <v>1923.1737759999999</v>
      </c>
      <c r="AD58" s="374">
        <v>1575.6306456</v>
      </c>
      <c r="AE58" s="374">
        <v>1191.5033716</v>
      </c>
      <c r="AF58" s="374">
        <v>1475.2983056</v>
      </c>
      <c r="AG58" s="374">
        <v>0</v>
      </c>
      <c r="AI58" s="370">
        <v>18129.576922799999</v>
      </c>
      <c r="AJ58" s="374">
        <v>150.9106414</v>
      </c>
      <c r="AK58" s="374">
        <v>187.79058179999998</v>
      </c>
      <c r="AL58" s="374">
        <v>205.9238158</v>
      </c>
      <c r="AM58" s="374">
        <v>252.6236668</v>
      </c>
      <c r="AN58" s="374">
        <v>247.44357739999998</v>
      </c>
      <c r="AO58" s="374">
        <v>270.07022419999998</v>
      </c>
      <c r="AP58" s="374">
        <v>255.07022419999998</v>
      </c>
      <c r="AQ58" s="374">
        <v>261.2034582</v>
      </c>
      <c r="AR58" s="374">
        <v>281.03654319999998</v>
      </c>
      <c r="AS58" s="374">
        <v>289.4831006</v>
      </c>
      <c r="AT58" s="374">
        <v>281.91648359999999</v>
      </c>
      <c r="AU58" s="374">
        <v>291.34986659999998</v>
      </c>
      <c r="AV58" s="374">
        <v>318.91648359999999</v>
      </c>
      <c r="AW58" s="374">
        <v>285.34986659999998</v>
      </c>
      <c r="AX58" s="374">
        <v>285.28983679999999</v>
      </c>
      <c r="AY58" s="374">
        <v>1320.2237292</v>
      </c>
      <c r="AZ58" s="374">
        <v>1237.98361</v>
      </c>
      <c r="BA58" s="374">
        <v>1237.8093627999999</v>
      </c>
      <c r="BB58" s="374">
        <v>1251.9952943999999</v>
      </c>
      <c r="BC58" s="374">
        <v>1198.7156519999999</v>
      </c>
      <c r="BD58" s="374">
        <v>1218.781524</v>
      </c>
      <c r="BE58" s="374">
        <v>1061.8635503999999</v>
      </c>
      <c r="BF58" s="374">
        <v>1022.5517169999999</v>
      </c>
      <c r="BG58" s="374">
        <v>1095.5853979999999</v>
      </c>
      <c r="BH58" s="374">
        <v>973.12715619999994</v>
      </c>
      <c r="BI58" s="374">
        <v>853.43463739999993</v>
      </c>
      <c r="BJ58" s="374">
        <v>707.80948059999992</v>
      </c>
      <c r="BK58" s="374">
        <v>532.21216260000006</v>
      </c>
      <c r="BL58" s="374">
        <v>553.10527739999998</v>
      </c>
      <c r="BM58" s="374">
        <v>0</v>
      </c>
      <c r="BO58" s="370">
        <v>21428.302886999998</v>
      </c>
      <c r="BP58" s="374">
        <v>166.49043280000001</v>
      </c>
      <c r="BQ58" s="374">
        <v>186.863786</v>
      </c>
      <c r="BR58" s="374">
        <v>204.9238158</v>
      </c>
      <c r="BS58" s="374">
        <v>218.297169</v>
      </c>
      <c r="BT58" s="374">
        <v>232.9238158</v>
      </c>
      <c r="BU58" s="374">
        <v>270.49043280000001</v>
      </c>
      <c r="BV58" s="374">
        <v>259.93699019999997</v>
      </c>
      <c r="BW58" s="374">
        <v>278.95016459999999</v>
      </c>
      <c r="BX58" s="374">
        <v>293.15660279999997</v>
      </c>
      <c r="BY58" s="374">
        <v>279.03654319999998</v>
      </c>
      <c r="BZ58" s="374">
        <v>276.21663260000003</v>
      </c>
      <c r="CA58" s="374">
        <v>272.52995599999997</v>
      </c>
      <c r="CB58" s="374">
        <v>273.72321979999998</v>
      </c>
      <c r="CC58" s="374">
        <v>307.40989639999998</v>
      </c>
      <c r="CD58" s="374">
        <v>282.46992620000003</v>
      </c>
      <c r="CE58" s="374">
        <v>1363.1842059999999</v>
      </c>
      <c r="CF58" s="374">
        <v>1328.2705845999999</v>
      </c>
      <c r="CG58" s="374">
        <v>1481.7229841999999</v>
      </c>
      <c r="CH58" s="374">
        <v>1616.582418</v>
      </c>
      <c r="CI58" s="374">
        <v>1520.6878131999999</v>
      </c>
      <c r="CJ58" s="374">
        <v>1484.5414048</v>
      </c>
      <c r="CK58" s="374">
        <v>1380.816695</v>
      </c>
      <c r="CL58" s="374">
        <v>1306.5839080000001</v>
      </c>
      <c r="CM58" s="374">
        <v>1323.4111508000001</v>
      </c>
      <c r="CN58" s="374">
        <v>1300.0377976</v>
      </c>
      <c r="CO58" s="374">
        <v>1069.7391385999999</v>
      </c>
      <c r="CP58" s="374">
        <v>867.82116500000006</v>
      </c>
      <c r="CQ58" s="374">
        <v>659.29120899999998</v>
      </c>
      <c r="CR58" s="374">
        <v>922.19302820000007</v>
      </c>
      <c r="CS58" s="374">
        <v>0</v>
      </c>
    </row>
    <row r="59" spans="2:97" hidden="1" x14ac:dyDescent="0.2">
      <c r="B59" s="369"/>
      <c r="C59" s="370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I59" s="370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1"/>
      <c r="BO59" s="370"/>
      <c r="BP59" s="371"/>
      <c r="BQ59" s="371"/>
      <c r="BR59" s="371"/>
      <c r="BS59" s="371"/>
      <c r="BT59" s="371"/>
      <c r="BU59" s="371"/>
      <c r="BV59" s="371"/>
      <c r="BW59" s="371"/>
      <c r="BX59" s="371"/>
      <c r="BY59" s="371"/>
      <c r="BZ59" s="371"/>
      <c r="CA59" s="371"/>
      <c r="CB59" s="371"/>
      <c r="CC59" s="371"/>
      <c r="CD59" s="371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71"/>
      <c r="CP59" s="371"/>
      <c r="CQ59" s="371"/>
      <c r="CR59" s="371"/>
      <c r="CS59" s="371"/>
    </row>
    <row r="60" spans="2:97" hidden="1" x14ac:dyDescent="0.2">
      <c r="B60" s="369" t="s">
        <v>253</v>
      </c>
      <c r="C60" s="370">
        <v>17756</v>
      </c>
      <c r="D60" s="371">
        <v>42</v>
      </c>
      <c r="E60" s="371">
        <v>56</v>
      </c>
      <c r="F60" s="371">
        <v>87</v>
      </c>
      <c r="G60" s="371">
        <v>75</v>
      </c>
      <c r="H60" s="371">
        <v>69</v>
      </c>
      <c r="I60" s="371">
        <v>93</v>
      </c>
      <c r="J60" s="371">
        <v>114</v>
      </c>
      <c r="K60" s="371">
        <v>136</v>
      </c>
      <c r="L60" s="371">
        <v>127</v>
      </c>
      <c r="M60" s="371">
        <v>118</v>
      </c>
      <c r="N60" s="371">
        <v>135</v>
      </c>
      <c r="O60" s="371">
        <v>186</v>
      </c>
      <c r="P60" s="371">
        <v>145</v>
      </c>
      <c r="Q60" s="371">
        <v>137</v>
      </c>
      <c r="R60" s="371">
        <v>169</v>
      </c>
      <c r="S60" s="371">
        <v>754</v>
      </c>
      <c r="T60" s="371">
        <v>923</v>
      </c>
      <c r="U60" s="371">
        <v>1179</v>
      </c>
      <c r="V60" s="371">
        <v>1473</v>
      </c>
      <c r="W60" s="371">
        <v>1402</v>
      </c>
      <c r="X60" s="371">
        <v>1225</v>
      </c>
      <c r="Y60" s="371">
        <v>1093</v>
      </c>
      <c r="Z60" s="371">
        <v>1134</v>
      </c>
      <c r="AA60" s="371">
        <v>1269</v>
      </c>
      <c r="AB60" s="371">
        <v>1296</v>
      </c>
      <c r="AC60" s="371">
        <v>1279</v>
      </c>
      <c r="AD60" s="371">
        <v>1072</v>
      </c>
      <c r="AE60" s="371">
        <v>866</v>
      </c>
      <c r="AF60" s="371">
        <v>1093</v>
      </c>
      <c r="AG60" s="371">
        <v>9</v>
      </c>
      <c r="AI60" s="370">
        <v>8775</v>
      </c>
      <c r="AJ60" s="371">
        <v>23</v>
      </c>
      <c r="AK60" s="371">
        <v>34</v>
      </c>
      <c r="AL60" s="371">
        <v>35</v>
      </c>
      <c r="AM60" s="371">
        <v>32</v>
      </c>
      <c r="AN60" s="371">
        <v>39</v>
      </c>
      <c r="AO60" s="371">
        <v>47</v>
      </c>
      <c r="AP60" s="371">
        <v>57</v>
      </c>
      <c r="AQ60" s="371">
        <v>59</v>
      </c>
      <c r="AR60" s="371">
        <v>54</v>
      </c>
      <c r="AS60" s="371">
        <v>60</v>
      </c>
      <c r="AT60" s="371">
        <v>59</v>
      </c>
      <c r="AU60" s="371">
        <v>90</v>
      </c>
      <c r="AV60" s="371">
        <v>63</v>
      </c>
      <c r="AW60" s="371">
        <v>86</v>
      </c>
      <c r="AX60" s="371">
        <v>80</v>
      </c>
      <c r="AY60" s="371">
        <v>385</v>
      </c>
      <c r="AZ60" s="371">
        <v>464</v>
      </c>
      <c r="BA60" s="371">
        <v>597</v>
      </c>
      <c r="BB60" s="371">
        <v>804</v>
      </c>
      <c r="BC60" s="371">
        <v>782</v>
      </c>
      <c r="BD60" s="371">
        <v>702</v>
      </c>
      <c r="BE60" s="371">
        <v>593</v>
      </c>
      <c r="BF60" s="371">
        <v>597</v>
      </c>
      <c r="BG60" s="371">
        <v>651</v>
      </c>
      <c r="BH60" s="371">
        <v>613</v>
      </c>
      <c r="BI60" s="371">
        <v>565</v>
      </c>
      <c r="BJ60" s="371">
        <v>450</v>
      </c>
      <c r="BK60" s="371">
        <v>361</v>
      </c>
      <c r="BL60" s="371">
        <v>389</v>
      </c>
      <c r="BM60" s="371">
        <v>4</v>
      </c>
      <c r="BO60" s="370">
        <v>8981</v>
      </c>
      <c r="BP60" s="371">
        <v>19</v>
      </c>
      <c r="BQ60" s="371">
        <v>22</v>
      </c>
      <c r="BR60" s="371">
        <v>52</v>
      </c>
      <c r="BS60" s="371">
        <v>43</v>
      </c>
      <c r="BT60" s="371">
        <v>30</v>
      </c>
      <c r="BU60" s="371">
        <v>46</v>
      </c>
      <c r="BV60" s="371">
        <v>57</v>
      </c>
      <c r="BW60" s="371">
        <v>77</v>
      </c>
      <c r="BX60" s="371">
        <v>73</v>
      </c>
      <c r="BY60" s="371">
        <v>58</v>
      </c>
      <c r="BZ60" s="371">
        <v>76</v>
      </c>
      <c r="CA60" s="371">
        <v>96</v>
      </c>
      <c r="CB60" s="371">
        <v>82</v>
      </c>
      <c r="CC60" s="371">
        <v>51</v>
      </c>
      <c r="CD60" s="371">
        <v>89</v>
      </c>
      <c r="CE60" s="371">
        <v>369</v>
      </c>
      <c r="CF60" s="371">
        <v>459</v>
      </c>
      <c r="CG60" s="371">
        <v>582</v>
      </c>
      <c r="CH60" s="371">
        <v>669</v>
      </c>
      <c r="CI60" s="371">
        <v>620</v>
      </c>
      <c r="CJ60" s="371">
        <v>523</v>
      </c>
      <c r="CK60" s="371">
        <v>500</v>
      </c>
      <c r="CL60" s="371">
        <v>537</v>
      </c>
      <c r="CM60" s="371">
        <v>618</v>
      </c>
      <c r="CN60" s="371">
        <v>683</v>
      </c>
      <c r="CO60" s="371">
        <v>714</v>
      </c>
      <c r="CP60" s="371">
        <v>622</v>
      </c>
      <c r="CQ60" s="371">
        <v>505</v>
      </c>
      <c r="CR60" s="371">
        <v>704</v>
      </c>
      <c r="CS60" s="371">
        <v>5</v>
      </c>
    </row>
    <row r="61" spans="2:97" hidden="1" x14ac:dyDescent="0.2">
      <c r="B61" s="369" t="s">
        <v>254</v>
      </c>
      <c r="C61" s="370">
        <v>49873</v>
      </c>
      <c r="D61" s="371">
        <v>246</v>
      </c>
      <c r="E61" s="371">
        <v>294</v>
      </c>
      <c r="F61" s="371">
        <v>300</v>
      </c>
      <c r="G61" s="371">
        <v>398</v>
      </c>
      <c r="H61" s="371">
        <v>588</v>
      </c>
      <c r="I61" s="371">
        <v>509</v>
      </c>
      <c r="J61" s="371">
        <v>557</v>
      </c>
      <c r="K61" s="371">
        <v>662</v>
      </c>
      <c r="L61" s="371">
        <v>793</v>
      </c>
      <c r="M61" s="371">
        <v>737</v>
      </c>
      <c r="N61" s="371">
        <v>724</v>
      </c>
      <c r="O61" s="371">
        <v>758</v>
      </c>
      <c r="P61" s="371">
        <v>790</v>
      </c>
      <c r="Q61" s="371">
        <v>810</v>
      </c>
      <c r="R61" s="371">
        <v>726</v>
      </c>
      <c r="S61" s="371">
        <v>3581</v>
      </c>
      <c r="T61" s="371">
        <v>3726</v>
      </c>
      <c r="U61" s="371">
        <v>4035</v>
      </c>
      <c r="V61" s="371">
        <v>4021</v>
      </c>
      <c r="W61" s="371">
        <v>3634</v>
      </c>
      <c r="X61" s="371">
        <v>3284</v>
      </c>
      <c r="Y61" s="371">
        <v>2997</v>
      </c>
      <c r="Z61" s="371">
        <v>2857</v>
      </c>
      <c r="AA61" s="371">
        <v>2950</v>
      </c>
      <c r="AB61" s="371">
        <v>2973</v>
      </c>
      <c r="AC61" s="371">
        <v>2258</v>
      </c>
      <c r="AD61" s="371">
        <v>1635</v>
      </c>
      <c r="AE61" s="371">
        <v>1287</v>
      </c>
      <c r="AF61" s="371">
        <v>1706</v>
      </c>
      <c r="AG61" s="371">
        <v>37</v>
      </c>
      <c r="AI61" s="370">
        <v>22631</v>
      </c>
      <c r="AJ61" s="371">
        <v>140</v>
      </c>
      <c r="AK61" s="371">
        <v>151</v>
      </c>
      <c r="AL61" s="371">
        <v>151</v>
      </c>
      <c r="AM61" s="371">
        <v>186</v>
      </c>
      <c r="AN61" s="371">
        <v>316</v>
      </c>
      <c r="AO61" s="371">
        <v>263</v>
      </c>
      <c r="AP61" s="371">
        <v>289</v>
      </c>
      <c r="AQ61" s="371">
        <v>320</v>
      </c>
      <c r="AR61" s="371">
        <v>378</v>
      </c>
      <c r="AS61" s="371">
        <v>365</v>
      </c>
      <c r="AT61" s="371">
        <v>361</v>
      </c>
      <c r="AU61" s="371">
        <v>420</v>
      </c>
      <c r="AV61" s="371">
        <v>402</v>
      </c>
      <c r="AW61" s="371">
        <v>398</v>
      </c>
      <c r="AX61" s="371">
        <v>362</v>
      </c>
      <c r="AY61" s="371">
        <v>1829</v>
      </c>
      <c r="AZ61" s="371">
        <v>1870</v>
      </c>
      <c r="BA61" s="371">
        <v>1890</v>
      </c>
      <c r="BB61" s="371">
        <v>1790</v>
      </c>
      <c r="BC61" s="371">
        <v>1482</v>
      </c>
      <c r="BD61" s="371">
        <v>1381</v>
      </c>
      <c r="BE61" s="371">
        <v>1266</v>
      </c>
      <c r="BF61" s="371">
        <v>1228</v>
      </c>
      <c r="BG61" s="371">
        <v>1297</v>
      </c>
      <c r="BH61" s="371">
        <v>1288</v>
      </c>
      <c r="BI61" s="371">
        <v>973</v>
      </c>
      <c r="BJ61" s="371">
        <v>677</v>
      </c>
      <c r="BK61" s="371">
        <v>531</v>
      </c>
      <c r="BL61" s="371">
        <v>607</v>
      </c>
      <c r="BM61" s="371">
        <v>20</v>
      </c>
      <c r="BO61" s="370">
        <v>27242</v>
      </c>
      <c r="BP61" s="371">
        <v>106</v>
      </c>
      <c r="BQ61" s="371">
        <v>143</v>
      </c>
      <c r="BR61" s="371">
        <v>149</v>
      </c>
      <c r="BS61" s="371">
        <v>212</v>
      </c>
      <c r="BT61" s="371">
        <v>272</v>
      </c>
      <c r="BU61" s="371">
        <v>246</v>
      </c>
      <c r="BV61" s="371">
        <v>268</v>
      </c>
      <c r="BW61" s="371">
        <v>342</v>
      </c>
      <c r="BX61" s="371">
        <v>415</v>
      </c>
      <c r="BY61" s="371">
        <v>372</v>
      </c>
      <c r="BZ61" s="371">
        <v>363</v>
      </c>
      <c r="CA61" s="371">
        <v>338</v>
      </c>
      <c r="CB61" s="371">
        <v>388</v>
      </c>
      <c r="CC61" s="371">
        <v>412</v>
      </c>
      <c r="CD61" s="371">
        <v>364</v>
      </c>
      <c r="CE61" s="371">
        <v>1752</v>
      </c>
      <c r="CF61" s="371">
        <v>1856</v>
      </c>
      <c r="CG61" s="371">
        <v>2145</v>
      </c>
      <c r="CH61" s="371">
        <v>2231</v>
      </c>
      <c r="CI61" s="371">
        <v>2152</v>
      </c>
      <c r="CJ61" s="371">
        <v>1903</v>
      </c>
      <c r="CK61" s="371">
        <v>1731</v>
      </c>
      <c r="CL61" s="371">
        <v>1629</v>
      </c>
      <c r="CM61" s="371">
        <v>1653</v>
      </c>
      <c r="CN61" s="371">
        <v>1685</v>
      </c>
      <c r="CO61" s="371">
        <v>1285</v>
      </c>
      <c r="CP61" s="371">
        <v>958</v>
      </c>
      <c r="CQ61" s="371">
        <v>756</v>
      </c>
      <c r="CR61" s="371">
        <v>1099</v>
      </c>
      <c r="CS61" s="371">
        <v>17</v>
      </c>
    </row>
    <row r="62" spans="2:97" hidden="1" x14ac:dyDescent="0.2">
      <c r="B62" s="369" t="s">
        <v>255</v>
      </c>
      <c r="C62" s="370">
        <v>3453</v>
      </c>
      <c r="D62" s="371">
        <v>40</v>
      </c>
      <c r="E62" s="371">
        <v>32</v>
      </c>
      <c r="F62" s="371">
        <v>31</v>
      </c>
      <c r="G62" s="371">
        <v>35</v>
      </c>
      <c r="H62" s="371">
        <v>30</v>
      </c>
      <c r="I62" s="371">
        <v>34</v>
      </c>
      <c r="J62" s="371">
        <v>32</v>
      </c>
      <c r="K62" s="371">
        <v>45</v>
      </c>
      <c r="L62" s="371">
        <v>52</v>
      </c>
      <c r="M62" s="371">
        <v>39</v>
      </c>
      <c r="N62" s="371">
        <v>36</v>
      </c>
      <c r="O62" s="371">
        <v>41</v>
      </c>
      <c r="P62" s="371">
        <v>43</v>
      </c>
      <c r="Q62" s="371">
        <v>51</v>
      </c>
      <c r="R62" s="371">
        <v>52</v>
      </c>
      <c r="S62" s="371">
        <v>206</v>
      </c>
      <c r="T62" s="371">
        <v>199</v>
      </c>
      <c r="U62" s="371">
        <v>244</v>
      </c>
      <c r="V62" s="371">
        <v>269</v>
      </c>
      <c r="W62" s="371">
        <v>277</v>
      </c>
      <c r="X62" s="371">
        <v>242</v>
      </c>
      <c r="Y62" s="371">
        <v>201</v>
      </c>
      <c r="Z62" s="371">
        <v>219</v>
      </c>
      <c r="AA62" s="371">
        <v>228</v>
      </c>
      <c r="AB62" s="371">
        <v>224</v>
      </c>
      <c r="AC62" s="371">
        <v>162</v>
      </c>
      <c r="AD62" s="371">
        <v>146</v>
      </c>
      <c r="AE62" s="371">
        <v>106</v>
      </c>
      <c r="AF62" s="371">
        <v>133</v>
      </c>
      <c r="AG62" s="371">
        <v>4</v>
      </c>
      <c r="AI62" s="370">
        <v>1691</v>
      </c>
      <c r="AJ62" s="371">
        <v>17</v>
      </c>
      <c r="AK62" s="371">
        <v>19</v>
      </c>
      <c r="AL62" s="371">
        <v>17</v>
      </c>
      <c r="AM62" s="371">
        <v>20</v>
      </c>
      <c r="AN62" s="371">
        <v>14</v>
      </c>
      <c r="AO62" s="371">
        <v>15</v>
      </c>
      <c r="AP62" s="371">
        <v>20</v>
      </c>
      <c r="AQ62" s="371">
        <v>25</v>
      </c>
      <c r="AR62" s="371">
        <v>29</v>
      </c>
      <c r="AS62" s="371">
        <v>22</v>
      </c>
      <c r="AT62" s="371">
        <v>17</v>
      </c>
      <c r="AU62" s="371">
        <v>17</v>
      </c>
      <c r="AV62" s="371">
        <v>23</v>
      </c>
      <c r="AW62" s="371">
        <v>24</v>
      </c>
      <c r="AX62" s="371">
        <v>25</v>
      </c>
      <c r="AY62" s="371">
        <v>108</v>
      </c>
      <c r="AZ62" s="371">
        <v>90</v>
      </c>
      <c r="BA62" s="371">
        <v>108</v>
      </c>
      <c r="BB62" s="371">
        <v>130</v>
      </c>
      <c r="BC62" s="371">
        <v>134</v>
      </c>
      <c r="BD62" s="371">
        <v>111</v>
      </c>
      <c r="BE62" s="371">
        <v>101</v>
      </c>
      <c r="BF62" s="371">
        <v>104</v>
      </c>
      <c r="BG62" s="371">
        <v>117</v>
      </c>
      <c r="BH62" s="371">
        <v>124</v>
      </c>
      <c r="BI62" s="371">
        <v>76</v>
      </c>
      <c r="BJ62" s="371">
        <v>70</v>
      </c>
      <c r="BK62" s="371">
        <v>52</v>
      </c>
      <c r="BL62" s="371">
        <v>59</v>
      </c>
      <c r="BM62" s="371">
        <v>3</v>
      </c>
      <c r="BO62" s="370">
        <v>1762</v>
      </c>
      <c r="BP62" s="371">
        <v>23</v>
      </c>
      <c r="BQ62" s="371">
        <v>13</v>
      </c>
      <c r="BR62" s="371">
        <v>14</v>
      </c>
      <c r="BS62" s="371">
        <v>15</v>
      </c>
      <c r="BT62" s="371">
        <v>16</v>
      </c>
      <c r="BU62" s="371">
        <v>19</v>
      </c>
      <c r="BV62" s="371">
        <v>12</v>
      </c>
      <c r="BW62" s="371">
        <v>20</v>
      </c>
      <c r="BX62" s="371">
        <v>23</v>
      </c>
      <c r="BY62" s="371">
        <v>17</v>
      </c>
      <c r="BZ62" s="371">
        <v>19</v>
      </c>
      <c r="CA62" s="371">
        <v>24</v>
      </c>
      <c r="CB62" s="371">
        <v>20</v>
      </c>
      <c r="CC62" s="371">
        <v>27</v>
      </c>
      <c r="CD62" s="371">
        <v>27</v>
      </c>
      <c r="CE62" s="371">
        <v>98</v>
      </c>
      <c r="CF62" s="371">
        <v>109</v>
      </c>
      <c r="CG62" s="371">
        <v>136</v>
      </c>
      <c r="CH62" s="371">
        <v>139</v>
      </c>
      <c r="CI62" s="371">
        <v>143</v>
      </c>
      <c r="CJ62" s="371">
        <v>131</v>
      </c>
      <c r="CK62" s="371">
        <v>100</v>
      </c>
      <c r="CL62" s="371">
        <v>115</v>
      </c>
      <c r="CM62" s="371">
        <v>111</v>
      </c>
      <c r="CN62" s="371">
        <v>100</v>
      </c>
      <c r="CO62" s="371">
        <v>86</v>
      </c>
      <c r="CP62" s="371">
        <v>76</v>
      </c>
      <c r="CQ62" s="371">
        <v>54</v>
      </c>
      <c r="CR62" s="371">
        <v>74</v>
      </c>
      <c r="CS62" s="371">
        <v>1</v>
      </c>
    </row>
    <row r="63" spans="2:97" hidden="1" x14ac:dyDescent="0.2">
      <c r="B63" s="369" t="s">
        <v>256</v>
      </c>
      <c r="C63" s="370">
        <v>6497</v>
      </c>
      <c r="D63" s="371">
        <v>62</v>
      </c>
      <c r="E63" s="371">
        <v>55</v>
      </c>
      <c r="F63" s="371">
        <v>56</v>
      </c>
      <c r="G63" s="371">
        <v>65</v>
      </c>
      <c r="H63" s="371">
        <v>44</v>
      </c>
      <c r="I63" s="371">
        <v>51</v>
      </c>
      <c r="J63" s="371">
        <v>48</v>
      </c>
      <c r="K63" s="371">
        <v>83</v>
      </c>
      <c r="L63" s="371">
        <v>103</v>
      </c>
      <c r="M63" s="371">
        <v>75</v>
      </c>
      <c r="N63" s="371">
        <v>84</v>
      </c>
      <c r="O63" s="371">
        <v>85</v>
      </c>
      <c r="P63" s="371">
        <v>90</v>
      </c>
      <c r="Q63" s="371">
        <v>91</v>
      </c>
      <c r="R63" s="371">
        <v>83</v>
      </c>
      <c r="S63" s="371">
        <v>425</v>
      </c>
      <c r="T63" s="371">
        <v>434</v>
      </c>
      <c r="U63" s="371">
        <v>490</v>
      </c>
      <c r="V63" s="371">
        <v>495</v>
      </c>
      <c r="W63" s="371">
        <v>524</v>
      </c>
      <c r="X63" s="371">
        <v>418</v>
      </c>
      <c r="Y63" s="371">
        <v>382</v>
      </c>
      <c r="Z63" s="371">
        <v>386</v>
      </c>
      <c r="AA63" s="371">
        <v>438</v>
      </c>
      <c r="AB63" s="371">
        <v>399</v>
      </c>
      <c r="AC63" s="371">
        <v>345</v>
      </c>
      <c r="AD63" s="371">
        <v>242</v>
      </c>
      <c r="AE63" s="371">
        <v>218</v>
      </c>
      <c r="AF63" s="371">
        <v>226</v>
      </c>
      <c r="AG63" s="371">
        <v>0</v>
      </c>
      <c r="AI63" s="370">
        <v>3132</v>
      </c>
      <c r="AJ63" s="371">
        <v>32</v>
      </c>
      <c r="AK63" s="371">
        <v>23</v>
      </c>
      <c r="AL63" s="371">
        <v>28</v>
      </c>
      <c r="AM63" s="371">
        <v>40</v>
      </c>
      <c r="AN63" s="371">
        <v>26</v>
      </c>
      <c r="AO63" s="371">
        <v>20</v>
      </c>
      <c r="AP63" s="371">
        <v>26</v>
      </c>
      <c r="AQ63" s="371">
        <v>41</v>
      </c>
      <c r="AR63" s="371">
        <v>46</v>
      </c>
      <c r="AS63" s="371">
        <v>47</v>
      </c>
      <c r="AT63" s="371">
        <v>40</v>
      </c>
      <c r="AU63" s="371">
        <v>47</v>
      </c>
      <c r="AV63" s="371">
        <v>39</v>
      </c>
      <c r="AW63" s="371">
        <v>56</v>
      </c>
      <c r="AX63" s="371">
        <v>40</v>
      </c>
      <c r="AY63" s="371">
        <v>216</v>
      </c>
      <c r="AZ63" s="371">
        <v>206</v>
      </c>
      <c r="BA63" s="371">
        <v>217</v>
      </c>
      <c r="BB63" s="371">
        <v>234</v>
      </c>
      <c r="BC63" s="371">
        <v>254</v>
      </c>
      <c r="BD63" s="371">
        <v>206</v>
      </c>
      <c r="BE63" s="371">
        <v>189</v>
      </c>
      <c r="BF63" s="371">
        <v>185</v>
      </c>
      <c r="BG63" s="371">
        <v>206</v>
      </c>
      <c r="BH63" s="371">
        <v>202</v>
      </c>
      <c r="BI63" s="371">
        <v>161</v>
      </c>
      <c r="BJ63" s="371">
        <v>121</v>
      </c>
      <c r="BK63" s="371">
        <v>101</v>
      </c>
      <c r="BL63" s="371">
        <v>83</v>
      </c>
      <c r="BM63" s="371">
        <v>0</v>
      </c>
      <c r="BO63" s="370">
        <v>3365</v>
      </c>
      <c r="BP63" s="371">
        <v>30</v>
      </c>
      <c r="BQ63" s="371">
        <v>32</v>
      </c>
      <c r="BR63" s="371">
        <v>28</v>
      </c>
      <c r="BS63" s="371">
        <v>25</v>
      </c>
      <c r="BT63" s="371">
        <v>18</v>
      </c>
      <c r="BU63" s="371">
        <v>31</v>
      </c>
      <c r="BV63" s="371">
        <v>22</v>
      </c>
      <c r="BW63" s="371">
        <v>42</v>
      </c>
      <c r="BX63" s="371">
        <v>57</v>
      </c>
      <c r="BY63" s="371">
        <v>28</v>
      </c>
      <c r="BZ63" s="371">
        <v>44</v>
      </c>
      <c r="CA63" s="371">
        <v>38</v>
      </c>
      <c r="CB63" s="371">
        <v>51</v>
      </c>
      <c r="CC63" s="371">
        <v>35</v>
      </c>
      <c r="CD63" s="371">
        <v>43</v>
      </c>
      <c r="CE63" s="371">
        <v>209</v>
      </c>
      <c r="CF63" s="371">
        <v>228</v>
      </c>
      <c r="CG63" s="371">
        <v>273</v>
      </c>
      <c r="CH63" s="371">
        <v>261</v>
      </c>
      <c r="CI63" s="371">
        <v>270</v>
      </c>
      <c r="CJ63" s="371">
        <v>212</v>
      </c>
      <c r="CK63" s="371">
        <v>193</v>
      </c>
      <c r="CL63" s="371">
        <v>201</v>
      </c>
      <c r="CM63" s="371">
        <v>232</v>
      </c>
      <c r="CN63" s="371">
        <v>197</v>
      </c>
      <c r="CO63" s="371">
        <v>184</v>
      </c>
      <c r="CP63" s="371">
        <v>121</v>
      </c>
      <c r="CQ63" s="371">
        <v>117</v>
      </c>
      <c r="CR63" s="371">
        <v>143</v>
      </c>
      <c r="CS63" s="371">
        <v>0</v>
      </c>
    </row>
    <row r="64" spans="2:97" hidden="1" x14ac:dyDescent="0.2">
      <c r="B64" s="369" t="s">
        <v>257</v>
      </c>
      <c r="C64" s="370">
        <v>5556</v>
      </c>
      <c r="D64" s="371">
        <v>43</v>
      </c>
      <c r="E64" s="371">
        <v>49</v>
      </c>
      <c r="F64" s="371">
        <v>51</v>
      </c>
      <c r="G64" s="371">
        <v>54</v>
      </c>
      <c r="H64" s="371">
        <v>63</v>
      </c>
      <c r="I64" s="371">
        <v>50</v>
      </c>
      <c r="J64" s="371">
        <v>46</v>
      </c>
      <c r="K64" s="371">
        <v>67</v>
      </c>
      <c r="L64" s="371">
        <v>72</v>
      </c>
      <c r="M64" s="371">
        <v>82</v>
      </c>
      <c r="N64" s="371">
        <v>75</v>
      </c>
      <c r="O64" s="371">
        <v>74</v>
      </c>
      <c r="P64" s="371">
        <v>64</v>
      </c>
      <c r="Q64" s="371">
        <v>73</v>
      </c>
      <c r="R64" s="371">
        <v>55</v>
      </c>
      <c r="S64" s="371">
        <v>348</v>
      </c>
      <c r="T64" s="371">
        <v>339</v>
      </c>
      <c r="U64" s="371">
        <v>416</v>
      </c>
      <c r="V64" s="371">
        <v>469</v>
      </c>
      <c r="W64" s="371">
        <v>417</v>
      </c>
      <c r="X64" s="371">
        <v>382</v>
      </c>
      <c r="Y64" s="371">
        <v>376</v>
      </c>
      <c r="Z64" s="371">
        <v>347</v>
      </c>
      <c r="AA64" s="371">
        <v>351</v>
      </c>
      <c r="AB64" s="371">
        <v>323</v>
      </c>
      <c r="AC64" s="371">
        <v>270</v>
      </c>
      <c r="AD64" s="371">
        <v>234</v>
      </c>
      <c r="AE64" s="371">
        <v>161</v>
      </c>
      <c r="AF64" s="371">
        <v>204</v>
      </c>
      <c r="AG64" s="371">
        <v>1</v>
      </c>
      <c r="AI64" s="370">
        <v>2671</v>
      </c>
      <c r="AJ64" s="371">
        <v>18</v>
      </c>
      <c r="AK64" s="371">
        <v>29</v>
      </c>
      <c r="AL64" s="371">
        <v>30</v>
      </c>
      <c r="AM64" s="371">
        <v>26</v>
      </c>
      <c r="AN64" s="371">
        <v>30</v>
      </c>
      <c r="AO64" s="371">
        <v>25</v>
      </c>
      <c r="AP64" s="371">
        <v>25</v>
      </c>
      <c r="AQ64" s="371">
        <v>27</v>
      </c>
      <c r="AR64" s="371">
        <v>40</v>
      </c>
      <c r="AS64" s="371">
        <v>45</v>
      </c>
      <c r="AT64" s="371">
        <v>43</v>
      </c>
      <c r="AU64" s="371">
        <v>36</v>
      </c>
      <c r="AV64" s="371">
        <v>31</v>
      </c>
      <c r="AW64" s="371">
        <v>38</v>
      </c>
      <c r="AX64" s="371">
        <v>29</v>
      </c>
      <c r="AY64" s="371">
        <v>187</v>
      </c>
      <c r="AZ64" s="371">
        <v>157</v>
      </c>
      <c r="BA64" s="371">
        <v>192</v>
      </c>
      <c r="BB64" s="371">
        <v>213</v>
      </c>
      <c r="BC64" s="371">
        <v>205</v>
      </c>
      <c r="BD64" s="371">
        <v>176</v>
      </c>
      <c r="BE64" s="371">
        <v>175</v>
      </c>
      <c r="BF64" s="371">
        <v>161</v>
      </c>
      <c r="BG64" s="371">
        <v>172</v>
      </c>
      <c r="BH64" s="371">
        <v>147</v>
      </c>
      <c r="BI64" s="371">
        <v>140</v>
      </c>
      <c r="BJ64" s="371">
        <v>107</v>
      </c>
      <c r="BK64" s="371">
        <v>79</v>
      </c>
      <c r="BL64" s="371">
        <v>88</v>
      </c>
      <c r="BM64" s="371">
        <v>0</v>
      </c>
      <c r="BO64" s="370">
        <v>2885</v>
      </c>
      <c r="BP64" s="371">
        <v>25</v>
      </c>
      <c r="BQ64" s="371">
        <v>20</v>
      </c>
      <c r="BR64" s="371">
        <v>21</v>
      </c>
      <c r="BS64" s="371">
        <v>28</v>
      </c>
      <c r="BT64" s="371">
        <v>33</v>
      </c>
      <c r="BU64" s="371">
        <v>25</v>
      </c>
      <c r="BV64" s="371">
        <v>21</v>
      </c>
      <c r="BW64" s="371">
        <v>40</v>
      </c>
      <c r="BX64" s="371">
        <v>32</v>
      </c>
      <c r="BY64" s="371">
        <v>37</v>
      </c>
      <c r="BZ64" s="371">
        <v>32</v>
      </c>
      <c r="CA64" s="371">
        <v>38</v>
      </c>
      <c r="CB64" s="371">
        <v>33</v>
      </c>
      <c r="CC64" s="371">
        <v>35</v>
      </c>
      <c r="CD64" s="371">
        <v>26</v>
      </c>
      <c r="CE64" s="371">
        <v>161</v>
      </c>
      <c r="CF64" s="371">
        <v>182</v>
      </c>
      <c r="CG64" s="371">
        <v>224</v>
      </c>
      <c r="CH64" s="371">
        <v>256</v>
      </c>
      <c r="CI64" s="371">
        <v>212</v>
      </c>
      <c r="CJ64" s="371">
        <v>206</v>
      </c>
      <c r="CK64" s="371">
        <v>201</v>
      </c>
      <c r="CL64" s="371">
        <v>186</v>
      </c>
      <c r="CM64" s="371">
        <v>179</v>
      </c>
      <c r="CN64" s="371">
        <v>176</v>
      </c>
      <c r="CO64" s="371">
        <v>130</v>
      </c>
      <c r="CP64" s="371">
        <v>127</v>
      </c>
      <c r="CQ64" s="371">
        <v>82</v>
      </c>
      <c r="CR64" s="371">
        <v>116</v>
      </c>
      <c r="CS64" s="371">
        <v>1</v>
      </c>
    </row>
    <row r="65" spans="2:100" hidden="1" x14ac:dyDescent="0.2">
      <c r="B65" s="369" t="s">
        <v>258</v>
      </c>
      <c r="C65" s="370">
        <v>614</v>
      </c>
      <c r="D65" s="371">
        <v>2</v>
      </c>
      <c r="E65" s="371">
        <v>10</v>
      </c>
      <c r="F65" s="371">
        <v>10</v>
      </c>
      <c r="G65" s="371">
        <v>4</v>
      </c>
      <c r="H65" s="371">
        <v>3</v>
      </c>
      <c r="I65" s="371">
        <v>19</v>
      </c>
      <c r="J65" s="371">
        <v>9</v>
      </c>
      <c r="K65" s="371">
        <v>14</v>
      </c>
      <c r="L65" s="371">
        <v>4</v>
      </c>
      <c r="M65" s="371">
        <v>6</v>
      </c>
      <c r="N65" s="371">
        <v>15</v>
      </c>
      <c r="O65" s="371">
        <v>12</v>
      </c>
      <c r="P65" s="371">
        <v>7</v>
      </c>
      <c r="Q65" s="371">
        <v>13</v>
      </c>
      <c r="R65" s="371">
        <v>7</v>
      </c>
      <c r="S65" s="371">
        <v>35</v>
      </c>
      <c r="T65" s="371">
        <v>26</v>
      </c>
      <c r="U65" s="371">
        <v>41</v>
      </c>
      <c r="V65" s="371">
        <v>45</v>
      </c>
      <c r="W65" s="371">
        <v>33</v>
      </c>
      <c r="X65" s="371">
        <v>38</v>
      </c>
      <c r="Y65" s="371">
        <v>27</v>
      </c>
      <c r="Z65" s="371">
        <v>33</v>
      </c>
      <c r="AA65" s="371">
        <v>46</v>
      </c>
      <c r="AB65" s="371">
        <v>46</v>
      </c>
      <c r="AC65" s="371">
        <v>47</v>
      </c>
      <c r="AD65" s="371">
        <v>29</v>
      </c>
      <c r="AE65" s="371">
        <v>16</v>
      </c>
      <c r="AF65" s="371">
        <v>17</v>
      </c>
      <c r="AG65" s="371">
        <v>0</v>
      </c>
      <c r="AI65" s="370">
        <v>261</v>
      </c>
      <c r="AJ65" s="371">
        <v>1</v>
      </c>
      <c r="AK65" s="371">
        <v>4</v>
      </c>
      <c r="AL65" s="371">
        <v>2</v>
      </c>
      <c r="AM65" s="371">
        <v>1</v>
      </c>
      <c r="AN65" s="371">
        <v>2</v>
      </c>
      <c r="AO65" s="371">
        <v>7</v>
      </c>
      <c r="AP65" s="371">
        <v>3</v>
      </c>
      <c r="AQ65" s="371">
        <v>5</v>
      </c>
      <c r="AR65" s="371">
        <v>3</v>
      </c>
      <c r="AS65" s="371">
        <v>2</v>
      </c>
      <c r="AT65" s="371">
        <v>4</v>
      </c>
      <c r="AU65" s="371">
        <v>9</v>
      </c>
      <c r="AV65" s="371">
        <v>4</v>
      </c>
      <c r="AW65" s="371">
        <v>5</v>
      </c>
      <c r="AX65" s="371">
        <v>3</v>
      </c>
      <c r="AY65" s="371">
        <v>19</v>
      </c>
      <c r="AZ65" s="371">
        <v>12</v>
      </c>
      <c r="BA65" s="371">
        <v>16</v>
      </c>
      <c r="BB65" s="371">
        <v>14</v>
      </c>
      <c r="BC65" s="371">
        <v>13</v>
      </c>
      <c r="BD65" s="371">
        <v>17</v>
      </c>
      <c r="BE65" s="371">
        <v>14</v>
      </c>
      <c r="BF65" s="371">
        <v>9</v>
      </c>
      <c r="BG65" s="371">
        <v>15</v>
      </c>
      <c r="BH65" s="371">
        <v>21</v>
      </c>
      <c r="BI65" s="371">
        <v>24</v>
      </c>
      <c r="BJ65" s="371">
        <v>13</v>
      </c>
      <c r="BK65" s="371">
        <v>12</v>
      </c>
      <c r="BL65" s="371">
        <v>7</v>
      </c>
      <c r="BM65" s="371">
        <v>0</v>
      </c>
      <c r="BO65" s="370">
        <v>353</v>
      </c>
      <c r="BP65" s="371">
        <v>1</v>
      </c>
      <c r="BQ65" s="371">
        <v>6</v>
      </c>
      <c r="BR65" s="371">
        <v>8</v>
      </c>
      <c r="BS65" s="371">
        <v>3</v>
      </c>
      <c r="BT65" s="371">
        <v>1</v>
      </c>
      <c r="BU65" s="371">
        <v>12</v>
      </c>
      <c r="BV65" s="371">
        <v>6</v>
      </c>
      <c r="BW65" s="371">
        <v>9</v>
      </c>
      <c r="BX65" s="371">
        <v>1</v>
      </c>
      <c r="BY65" s="371">
        <v>4</v>
      </c>
      <c r="BZ65" s="371">
        <v>11</v>
      </c>
      <c r="CA65" s="371">
        <v>3</v>
      </c>
      <c r="CB65" s="371">
        <v>3</v>
      </c>
      <c r="CC65" s="371">
        <v>8</v>
      </c>
      <c r="CD65" s="371">
        <v>4</v>
      </c>
      <c r="CE65" s="371">
        <v>16</v>
      </c>
      <c r="CF65" s="371">
        <v>14</v>
      </c>
      <c r="CG65" s="371">
        <v>25</v>
      </c>
      <c r="CH65" s="371">
        <v>31</v>
      </c>
      <c r="CI65" s="371">
        <v>20</v>
      </c>
      <c r="CJ65" s="371">
        <v>21</v>
      </c>
      <c r="CK65" s="371">
        <v>13</v>
      </c>
      <c r="CL65" s="371">
        <v>24</v>
      </c>
      <c r="CM65" s="371">
        <v>31</v>
      </c>
      <c r="CN65" s="371">
        <v>25</v>
      </c>
      <c r="CO65" s="371">
        <v>23</v>
      </c>
      <c r="CP65" s="371">
        <v>16</v>
      </c>
      <c r="CQ65" s="371">
        <v>4</v>
      </c>
      <c r="CR65" s="371">
        <v>10</v>
      </c>
      <c r="CS65" s="371">
        <v>0</v>
      </c>
    </row>
    <row r="66" spans="2:100" hidden="1" x14ac:dyDescent="0.2">
      <c r="B66" s="369" t="s">
        <v>259</v>
      </c>
      <c r="C66" s="370">
        <v>3165</v>
      </c>
      <c r="D66" s="371">
        <v>43</v>
      </c>
      <c r="E66" s="371">
        <v>58</v>
      </c>
      <c r="F66" s="371">
        <v>62</v>
      </c>
      <c r="G66" s="371">
        <v>62</v>
      </c>
      <c r="H66" s="371">
        <v>84</v>
      </c>
      <c r="I66" s="371">
        <v>76</v>
      </c>
      <c r="J66" s="371">
        <v>68</v>
      </c>
      <c r="K66" s="371">
        <v>61</v>
      </c>
      <c r="L66" s="371">
        <v>50</v>
      </c>
      <c r="M66" s="371">
        <v>55</v>
      </c>
      <c r="N66" s="371">
        <v>28</v>
      </c>
      <c r="O66" s="371">
        <v>47</v>
      </c>
      <c r="P66" s="371">
        <v>36</v>
      </c>
      <c r="Q66" s="371">
        <v>46</v>
      </c>
      <c r="R66" s="371">
        <v>38</v>
      </c>
      <c r="S66" s="371">
        <v>166</v>
      </c>
      <c r="T66" s="371">
        <v>204</v>
      </c>
      <c r="U66" s="371">
        <v>307</v>
      </c>
      <c r="V66" s="371">
        <v>338</v>
      </c>
      <c r="W66" s="371">
        <v>241</v>
      </c>
      <c r="X66" s="371">
        <v>206</v>
      </c>
      <c r="Y66" s="371">
        <v>167</v>
      </c>
      <c r="Z66" s="371">
        <v>137</v>
      </c>
      <c r="AA66" s="371">
        <v>141</v>
      </c>
      <c r="AB66" s="371">
        <v>140</v>
      </c>
      <c r="AC66" s="371">
        <v>116</v>
      </c>
      <c r="AD66" s="371">
        <v>87</v>
      </c>
      <c r="AE66" s="371">
        <v>48</v>
      </c>
      <c r="AF66" s="371">
        <v>53</v>
      </c>
      <c r="AG66" s="371">
        <v>0</v>
      </c>
      <c r="AI66" s="370">
        <v>1449</v>
      </c>
      <c r="AJ66" s="371">
        <v>14</v>
      </c>
      <c r="AK66" s="371">
        <v>33</v>
      </c>
      <c r="AL66" s="371">
        <v>26</v>
      </c>
      <c r="AM66" s="371">
        <v>30</v>
      </c>
      <c r="AN66" s="371">
        <v>45</v>
      </c>
      <c r="AO66" s="371">
        <v>33</v>
      </c>
      <c r="AP66" s="371">
        <v>29</v>
      </c>
      <c r="AQ66" s="371">
        <v>33</v>
      </c>
      <c r="AR66" s="371">
        <v>25</v>
      </c>
      <c r="AS66" s="371">
        <v>24</v>
      </c>
      <c r="AT66" s="371">
        <v>11</v>
      </c>
      <c r="AU66" s="371">
        <v>28</v>
      </c>
      <c r="AV66" s="371">
        <v>21</v>
      </c>
      <c r="AW66" s="371">
        <v>23</v>
      </c>
      <c r="AX66" s="371">
        <v>19</v>
      </c>
      <c r="AY66" s="371">
        <v>80</v>
      </c>
      <c r="AZ66" s="371">
        <v>84</v>
      </c>
      <c r="BA66" s="371">
        <v>135</v>
      </c>
      <c r="BB66" s="371">
        <v>153</v>
      </c>
      <c r="BC66" s="371">
        <v>108</v>
      </c>
      <c r="BD66" s="371">
        <v>99</v>
      </c>
      <c r="BE66" s="371">
        <v>75</v>
      </c>
      <c r="BF66" s="371">
        <v>63</v>
      </c>
      <c r="BG66" s="371">
        <v>54</v>
      </c>
      <c r="BH66" s="371">
        <v>66</v>
      </c>
      <c r="BI66" s="371">
        <v>51</v>
      </c>
      <c r="BJ66" s="371">
        <v>40</v>
      </c>
      <c r="BK66" s="371">
        <v>28</v>
      </c>
      <c r="BL66" s="371">
        <v>19</v>
      </c>
      <c r="BM66" s="371">
        <v>0</v>
      </c>
      <c r="BO66" s="370">
        <v>1716</v>
      </c>
      <c r="BP66" s="371">
        <v>29</v>
      </c>
      <c r="BQ66" s="371">
        <v>25</v>
      </c>
      <c r="BR66" s="371">
        <v>36</v>
      </c>
      <c r="BS66" s="371">
        <v>32</v>
      </c>
      <c r="BT66" s="371">
        <v>39</v>
      </c>
      <c r="BU66" s="371">
        <v>43</v>
      </c>
      <c r="BV66" s="371">
        <v>39</v>
      </c>
      <c r="BW66" s="371">
        <v>28</v>
      </c>
      <c r="BX66" s="371">
        <v>25</v>
      </c>
      <c r="BY66" s="371">
        <v>31</v>
      </c>
      <c r="BZ66" s="371">
        <v>17</v>
      </c>
      <c r="CA66" s="371">
        <v>19</v>
      </c>
      <c r="CB66" s="371">
        <v>15</v>
      </c>
      <c r="CC66" s="371">
        <v>23</v>
      </c>
      <c r="CD66" s="371">
        <v>19</v>
      </c>
      <c r="CE66" s="371">
        <v>86</v>
      </c>
      <c r="CF66" s="371">
        <v>120</v>
      </c>
      <c r="CG66" s="371">
        <v>172</v>
      </c>
      <c r="CH66" s="371">
        <v>185</v>
      </c>
      <c r="CI66" s="371">
        <v>133</v>
      </c>
      <c r="CJ66" s="371">
        <v>107</v>
      </c>
      <c r="CK66" s="371">
        <v>92</v>
      </c>
      <c r="CL66" s="371">
        <v>74</v>
      </c>
      <c r="CM66" s="371">
        <v>87</v>
      </c>
      <c r="CN66" s="371">
        <v>74</v>
      </c>
      <c r="CO66" s="371">
        <v>65</v>
      </c>
      <c r="CP66" s="371">
        <v>47</v>
      </c>
      <c r="CQ66" s="371">
        <v>20</v>
      </c>
      <c r="CR66" s="371">
        <v>34</v>
      </c>
      <c r="CS66" s="371">
        <v>0</v>
      </c>
    </row>
    <row r="67" spans="2:100" hidden="1" x14ac:dyDescent="0.2">
      <c r="B67" s="369" t="s">
        <v>260</v>
      </c>
      <c r="C67" s="370">
        <v>2161</v>
      </c>
      <c r="D67" s="371">
        <v>40</v>
      </c>
      <c r="E67" s="371">
        <v>25</v>
      </c>
      <c r="F67" s="371">
        <v>39</v>
      </c>
      <c r="G67" s="371">
        <v>43</v>
      </c>
      <c r="H67" s="371">
        <v>51</v>
      </c>
      <c r="I67" s="371">
        <v>35</v>
      </c>
      <c r="J67" s="371">
        <v>45</v>
      </c>
      <c r="K67" s="371">
        <v>52</v>
      </c>
      <c r="L67" s="371">
        <v>36</v>
      </c>
      <c r="M67" s="371">
        <v>29</v>
      </c>
      <c r="N67" s="371">
        <v>29</v>
      </c>
      <c r="O67" s="371">
        <v>29</v>
      </c>
      <c r="P67" s="371">
        <v>22</v>
      </c>
      <c r="Q67" s="371">
        <v>24</v>
      </c>
      <c r="R67" s="371">
        <v>24</v>
      </c>
      <c r="S67" s="371">
        <v>133</v>
      </c>
      <c r="T67" s="371">
        <v>122</v>
      </c>
      <c r="U67" s="371">
        <v>167</v>
      </c>
      <c r="V67" s="371">
        <v>217</v>
      </c>
      <c r="W67" s="371">
        <v>151</v>
      </c>
      <c r="X67" s="371">
        <v>128</v>
      </c>
      <c r="Y67" s="371">
        <v>105</v>
      </c>
      <c r="Z67" s="371">
        <v>108</v>
      </c>
      <c r="AA67" s="371">
        <v>95</v>
      </c>
      <c r="AB67" s="371">
        <v>114</v>
      </c>
      <c r="AC67" s="371">
        <v>88</v>
      </c>
      <c r="AD67" s="371">
        <v>80</v>
      </c>
      <c r="AE67" s="371">
        <v>68</v>
      </c>
      <c r="AF67" s="371">
        <v>62</v>
      </c>
      <c r="AG67" s="371">
        <v>0</v>
      </c>
      <c r="AI67" s="370">
        <v>926</v>
      </c>
      <c r="AJ67" s="371">
        <v>25</v>
      </c>
      <c r="AK67" s="371">
        <v>12</v>
      </c>
      <c r="AL67" s="371">
        <v>23</v>
      </c>
      <c r="AM67" s="371">
        <v>25</v>
      </c>
      <c r="AN67" s="371">
        <v>29</v>
      </c>
      <c r="AO67" s="371">
        <v>16</v>
      </c>
      <c r="AP67" s="371">
        <v>23</v>
      </c>
      <c r="AQ67" s="371">
        <v>21</v>
      </c>
      <c r="AR67" s="371">
        <v>22</v>
      </c>
      <c r="AS67" s="371">
        <v>19</v>
      </c>
      <c r="AT67" s="371">
        <v>15</v>
      </c>
      <c r="AU67" s="371">
        <v>10</v>
      </c>
      <c r="AV67" s="371">
        <v>11</v>
      </c>
      <c r="AW67" s="371">
        <v>11</v>
      </c>
      <c r="AX67" s="371">
        <v>10</v>
      </c>
      <c r="AY67" s="371">
        <v>53</v>
      </c>
      <c r="AZ67" s="371">
        <v>46</v>
      </c>
      <c r="BA67" s="371">
        <v>59</v>
      </c>
      <c r="BB67" s="371">
        <v>91</v>
      </c>
      <c r="BC67" s="371">
        <v>58</v>
      </c>
      <c r="BD67" s="371">
        <v>54</v>
      </c>
      <c r="BE67" s="371">
        <v>41</v>
      </c>
      <c r="BF67" s="371">
        <v>42</v>
      </c>
      <c r="BG67" s="371">
        <v>39</v>
      </c>
      <c r="BH67" s="371">
        <v>45</v>
      </c>
      <c r="BI67" s="371">
        <v>33</v>
      </c>
      <c r="BJ67" s="371">
        <v>38</v>
      </c>
      <c r="BK67" s="371">
        <v>32</v>
      </c>
      <c r="BL67" s="371">
        <v>23</v>
      </c>
      <c r="BM67" s="371">
        <v>0</v>
      </c>
      <c r="BO67" s="370">
        <v>1235</v>
      </c>
      <c r="BP67" s="371">
        <v>15</v>
      </c>
      <c r="BQ67" s="371">
        <v>13</v>
      </c>
      <c r="BR67" s="371">
        <v>16</v>
      </c>
      <c r="BS67" s="371">
        <v>18</v>
      </c>
      <c r="BT67" s="371">
        <v>22</v>
      </c>
      <c r="BU67" s="371">
        <v>19</v>
      </c>
      <c r="BV67" s="371">
        <v>22</v>
      </c>
      <c r="BW67" s="371">
        <v>31</v>
      </c>
      <c r="BX67" s="371">
        <v>14</v>
      </c>
      <c r="BY67" s="371">
        <v>10</v>
      </c>
      <c r="BZ67" s="371">
        <v>14</v>
      </c>
      <c r="CA67" s="371">
        <v>19</v>
      </c>
      <c r="CB67" s="371">
        <v>11</v>
      </c>
      <c r="CC67" s="371">
        <v>13</v>
      </c>
      <c r="CD67" s="371">
        <v>14</v>
      </c>
      <c r="CE67" s="371">
        <v>80</v>
      </c>
      <c r="CF67" s="371">
        <v>76</v>
      </c>
      <c r="CG67" s="371">
        <v>108</v>
      </c>
      <c r="CH67" s="371">
        <v>126</v>
      </c>
      <c r="CI67" s="371">
        <v>93</v>
      </c>
      <c r="CJ67" s="371">
        <v>74</v>
      </c>
      <c r="CK67" s="371">
        <v>64</v>
      </c>
      <c r="CL67" s="371">
        <v>66</v>
      </c>
      <c r="CM67" s="371">
        <v>56</v>
      </c>
      <c r="CN67" s="371">
        <v>69</v>
      </c>
      <c r="CO67" s="371">
        <v>55</v>
      </c>
      <c r="CP67" s="371">
        <v>42</v>
      </c>
      <c r="CQ67" s="371">
        <v>36</v>
      </c>
      <c r="CR67" s="371">
        <v>39</v>
      </c>
      <c r="CS67" s="371">
        <v>0</v>
      </c>
    </row>
    <row r="68" spans="2:100" ht="12" hidden="1" customHeight="1" x14ac:dyDescent="0.2">
      <c r="B68" s="369" t="s">
        <v>261</v>
      </c>
      <c r="C68" s="370">
        <v>3108</v>
      </c>
      <c r="D68" s="371">
        <v>44</v>
      </c>
      <c r="E68" s="371">
        <v>54</v>
      </c>
      <c r="F68" s="371">
        <v>50</v>
      </c>
      <c r="G68" s="371">
        <v>56</v>
      </c>
      <c r="H68" s="371">
        <v>51</v>
      </c>
      <c r="I68" s="371">
        <v>55</v>
      </c>
      <c r="J68" s="371">
        <v>50</v>
      </c>
      <c r="K68" s="371">
        <v>55</v>
      </c>
      <c r="L68" s="371">
        <v>48</v>
      </c>
      <c r="M68" s="371">
        <v>56</v>
      </c>
      <c r="N68" s="371">
        <v>40</v>
      </c>
      <c r="O68" s="371">
        <v>60</v>
      </c>
      <c r="P68" s="371">
        <v>49</v>
      </c>
      <c r="Q68" s="371">
        <v>47</v>
      </c>
      <c r="R68" s="371">
        <v>40</v>
      </c>
      <c r="S68" s="371">
        <v>211</v>
      </c>
      <c r="T68" s="371">
        <v>180</v>
      </c>
      <c r="U68" s="371">
        <v>216</v>
      </c>
      <c r="V68" s="371">
        <v>284</v>
      </c>
      <c r="W68" s="371">
        <v>231</v>
      </c>
      <c r="X68" s="371">
        <v>202</v>
      </c>
      <c r="Y68" s="371">
        <v>144</v>
      </c>
      <c r="Z68" s="371">
        <v>131</v>
      </c>
      <c r="AA68" s="371">
        <v>115</v>
      </c>
      <c r="AB68" s="371">
        <v>180</v>
      </c>
      <c r="AC68" s="371">
        <v>156</v>
      </c>
      <c r="AD68" s="371">
        <v>124</v>
      </c>
      <c r="AE68" s="371">
        <v>90</v>
      </c>
      <c r="AF68" s="371">
        <v>89</v>
      </c>
      <c r="AG68" s="371">
        <v>0</v>
      </c>
      <c r="AI68" s="370">
        <v>1277</v>
      </c>
      <c r="AJ68" s="371">
        <v>25</v>
      </c>
      <c r="AK68" s="371">
        <v>33</v>
      </c>
      <c r="AL68" s="371">
        <v>26</v>
      </c>
      <c r="AM68" s="371">
        <v>29</v>
      </c>
      <c r="AN68" s="371">
        <v>27</v>
      </c>
      <c r="AO68" s="371">
        <v>25</v>
      </c>
      <c r="AP68" s="371">
        <v>22</v>
      </c>
      <c r="AQ68" s="371">
        <v>28</v>
      </c>
      <c r="AR68" s="371">
        <v>22</v>
      </c>
      <c r="AS68" s="371">
        <v>33</v>
      </c>
      <c r="AT68" s="371">
        <v>24</v>
      </c>
      <c r="AU68" s="371">
        <v>28</v>
      </c>
      <c r="AV68" s="371">
        <v>23</v>
      </c>
      <c r="AW68" s="371">
        <v>20</v>
      </c>
      <c r="AX68" s="371">
        <v>14</v>
      </c>
      <c r="AY68" s="371">
        <v>86</v>
      </c>
      <c r="AZ68" s="371">
        <v>71</v>
      </c>
      <c r="BA68" s="371">
        <v>67</v>
      </c>
      <c r="BB68" s="371">
        <v>99</v>
      </c>
      <c r="BC68" s="371">
        <v>91</v>
      </c>
      <c r="BD68" s="371">
        <v>74</v>
      </c>
      <c r="BE68" s="371">
        <v>54</v>
      </c>
      <c r="BF68" s="371">
        <v>52</v>
      </c>
      <c r="BG68" s="371">
        <v>49</v>
      </c>
      <c r="BH68" s="371">
        <v>64</v>
      </c>
      <c r="BI68" s="371">
        <v>71</v>
      </c>
      <c r="BJ68" s="371">
        <v>47</v>
      </c>
      <c r="BK68" s="371">
        <v>40</v>
      </c>
      <c r="BL68" s="371">
        <v>33</v>
      </c>
      <c r="BM68" s="371">
        <v>0</v>
      </c>
      <c r="BO68" s="370">
        <v>1831</v>
      </c>
      <c r="BP68" s="371">
        <v>19</v>
      </c>
      <c r="BQ68" s="371">
        <v>21</v>
      </c>
      <c r="BR68" s="371">
        <v>24</v>
      </c>
      <c r="BS68" s="371">
        <v>27</v>
      </c>
      <c r="BT68" s="371">
        <v>24</v>
      </c>
      <c r="BU68" s="371">
        <v>30</v>
      </c>
      <c r="BV68" s="371">
        <v>28</v>
      </c>
      <c r="BW68" s="371">
        <v>27</v>
      </c>
      <c r="BX68" s="371">
        <v>26</v>
      </c>
      <c r="BY68" s="371">
        <v>23</v>
      </c>
      <c r="BZ68" s="371">
        <v>16</v>
      </c>
      <c r="CA68" s="371">
        <v>32</v>
      </c>
      <c r="CB68" s="371">
        <v>26</v>
      </c>
      <c r="CC68" s="371">
        <v>27</v>
      </c>
      <c r="CD68" s="371">
        <v>26</v>
      </c>
      <c r="CE68" s="371">
        <v>125</v>
      </c>
      <c r="CF68" s="371">
        <v>109</v>
      </c>
      <c r="CG68" s="371">
        <v>149</v>
      </c>
      <c r="CH68" s="371">
        <v>185</v>
      </c>
      <c r="CI68" s="371">
        <v>140</v>
      </c>
      <c r="CJ68" s="371">
        <v>128</v>
      </c>
      <c r="CK68" s="371">
        <v>90</v>
      </c>
      <c r="CL68" s="371">
        <v>79</v>
      </c>
      <c r="CM68" s="371">
        <v>66</v>
      </c>
      <c r="CN68" s="371">
        <v>116</v>
      </c>
      <c r="CO68" s="371">
        <v>85</v>
      </c>
      <c r="CP68" s="371">
        <v>77</v>
      </c>
      <c r="CQ68" s="371">
        <v>50</v>
      </c>
      <c r="CR68" s="371">
        <v>56</v>
      </c>
      <c r="CS68" s="371">
        <v>0</v>
      </c>
    </row>
    <row r="69" spans="2:100" ht="13.5" hidden="1" customHeight="1" x14ac:dyDescent="0.2">
      <c r="B69" s="372" t="s">
        <v>262</v>
      </c>
      <c r="C69" s="373">
        <v>92183</v>
      </c>
      <c r="D69" s="373">
        <v>562</v>
      </c>
      <c r="E69" s="373">
        <v>633</v>
      </c>
      <c r="F69" s="373">
        <v>686</v>
      </c>
      <c r="G69" s="373">
        <v>792</v>
      </c>
      <c r="H69" s="373">
        <v>983</v>
      </c>
      <c r="I69" s="373">
        <v>922</v>
      </c>
      <c r="J69" s="373">
        <v>969</v>
      </c>
      <c r="K69" s="373">
        <v>1175</v>
      </c>
      <c r="L69" s="373">
        <v>1285</v>
      </c>
      <c r="M69" s="373">
        <v>1197</v>
      </c>
      <c r="N69" s="373">
        <v>1166</v>
      </c>
      <c r="O69" s="373">
        <v>1292</v>
      </c>
      <c r="P69" s="373">
        <v>1246</v>
      </c>
      <c r="Q69" s="373">
        <v>1292</v>
      </c>
      <c r="R69" s="373">
        <v>1194</v>
      </c>
      <c r="S69" s="373">
        <v>5859</v>
      </c>
      <c r="T69" s="373">
        <v>6153</v>
      </c>
      <c r="U69" s="373">
        <v>7095</v>
      </c>
      <c r="V69" s="373">
        <v>7611</v>
      </c>
      <c r="W69" s="373">
        <v>6910</v>
      </c>
      <c r="X69" s="373">
        <v>6125</v>
      </c>
      <c r="Y69" s="373">
        <v>5492</v>
      </c>
      <c r="Z69" s="373">
        <v>5352</v>
      </c>
      <c r="AA69" s="373">
        <v>5633</v>
      </c>
      <c r="AB69" s="373">
        <v>5695</v>
      </c>
      <c r="AC69" s="373">
        <v>4721</v>
      </c>
      <c r="AD69" s="373">
        <v>3649</v>
      </c>
      <c r="AE69" s="373">
        <v>2860</v>
      </c>
      <c r="AF69" s="373">
        <v>3583</v>
      </c>
      <c r="AG69" s="373">
        <v>51</v>
      </c>
      <c r="AI69" s="373">
        <v>42813</v>
      </c>
      <c r="AJ69" s="373">
        <v>295</v>
      </c>
      <c r="AK69" s="373">
        <v>338</v>
      </c>
      <c r="AL69" s="373">
        <v>338</v>
      </c>
      <c r="AM69" s="373">
        <v>389</v>
      </c>
      <c r="AN69" s="373">
        <v>528</v>
      </c>
      <c r="AO69" s="373">
        <v>451</v>
      </c>
      <c r="AP69" s="373">
        <v>494</v>
      </c>
      <c r="AQ69" s="373">
        <v>559</v>
      </c>
      <c r="AR69" s="373">
        <v>619</v>
      </c>
      <c r="AS69" s="373">
        <v>617</v>
      </c>
      <c r="AT69" s="373">
        <v>574</v>
      </c>
      <c r="AU69" s="373">
        <v>685</v>
      </c>
      <c r="AV69" s="373">
        <v>617</v>
      </c>
      <c r="AW69" s="373">
        <v>661</v>
      </c>
      <c r="AX69" s="373">
        <v>582</v>
      </c>
      <c r="AY69" s="373">
        <v>2963</v>
      </c>
      <c r="AZ69" s="373">
        <v>3000</v>
      </c>
      <c r="BA69" s="373">
        <v>3281</v>
      </c>
      <c r="BB69" s="373">
        <v>3528</v>
      </c>
      <c r="BC69" s="373">
        <v>3127</v>
      </c>
      <c r="BD69" s="373">
        <v>2820</v>
      </c>
      <c r="BE69" s="373">
        <v>2508</v>
      </c>
      <c r="BF69" s="373">
        <v>2441</v>
      </c>
      <c r="BG69" s="373">
        <v>2600</v>
      </c>
      <c r="BH69" s="373">
        <v>2570</v>
      </c>
      <c r="BI69" s="373">
        <v>2094</v>
      </c>
      <c r="BJ69" s="373">
        <v>1563</v>
      </c>
      <c r="BK69" s="373">
        <v>1236</v>
      </c>
      <c r="BL69" s="373">
        <v>1308</v>
      </c>
      <c r="BM69" s="373">
        <v>27</v>
      </c>
      <c r="BO69" s="373">
        <v>49370</v>
      </c>
      <c r="BP69" s="373">
        <v>267</v>
      </c>
      <c r="BQ69" s="373">
        <v>295</v>
      </c>
      <c r="BR69" s="373">
        <v>348</v>
      </c>
      <c r="BS69" s="373">
        <v>403</v>
      </c>
      <c r="BT69" s="373">
        <v>455</v>
      </c>
      <c r="BU69" s="373">
        <v>471</v>
      </c>
      <c r="BV69" s="373">
        <v>475</v>
      </c>
      <c r="BW69" s="373">
        <v>616</v>
      </c>
      <c r="BX69" s="373">
        <v>666</v>
      </c>
      <c r="BY69" s="373">
        <v>580</v>
      </c>
      <c r="BZ69" s="373">
        <v>592</v>
      </c>
      <c r="CA69" s="373">
        <v>607</v>
      </c>
      <c r="CB69" s="373">
        <v>629</v>
      </c>
      <c r="CC69" s="373">
        <v>631</v>
      </c>
      <c r="CD69" s="373">
        <v>612</v>
      </c>
      <c r="CE69" s="373">
        <v>2896</v>
      </c>
      <c r="CF69" s="373">
        <v>3153</v>
      </c>
      <c r="CG69" s="373">
        <v>3814</v>
      </c>
      <c r="CH69" s="373">
        <v>4083</v>
      </c>
      <c r="CI69" s="373">
        <v>3783</v>
      </c>
      <c r="CJ69" s="373">
        <v>3305</v>
      </c>
      <c r="CK69" s="373">
        <v>2984</v>
      </c>
      <c r="CL69" s="373">
        <v>2911</v>
      </c>
      <c r="CM69" s="373">
        <v>3033</v>
      </c>
      <c r="CN69" s="373">
        <v>3125</v>
      </c>
      <c r="CO69" s="373">
        <v>2627</v>
      </c>
      <c r="CP69" s="373">
        <v>2086</v>
      </c>
      <c r="CQ69" s="373">
        <v>1624</v>
      </c>
      <c r="CR69" s="373">
        <v>2275</v>
      </c>
      <c r="CS69" s="373">
        <v>24</v>
      </c>
    </row>
    <row r="70" spans="2:100" hidden="1" x14ac:dyDescent="0.2">
      <c r="B70" s="369"/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I70" s="370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1"/>
      <c r="BO70" s="370"/>
      <c r="BP70" s="371"/>
      <c r="BQ70" s="371"/>
      <c r="BR70" s="371"/>
      <c r="BS70" s="371"/>
      <c r="BT70" s="371"/>
      <c r="BU70" s="371"/>
      <c r="BV70" s="371"/>
      <c r="BW70" s="371"/>
      <c r="BX70" s="371"/>
      <c r="BY70" s="371"/>
      <c r="BZ70" s="371"/>
      <c r="CA70" s="371"/>
      <c r="CB70" s="371"/>
      <c r="CC70" s="371"/>
      <c r="CD70" s="371"/>
      <c r="CE70" s="371"/>
      <c r="CF70" s="371"/>
      <c r="CG70" s="371"/>
      <c r="CH70" s="371"/>
      <c r="CI70" s="371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</row>
    <row r="71" spans="2:100" ht="9.75" hidden="1" customHeight="1" x14ac:dyDescent="0.2">
      <c r="B71" s="372" t="s">
        <v>263</v>
      </c>
      <c r="C71" s="370">
        <v>21197</v>
      </c>
      <c r="D71" s="371">
        <v>216</v>
      </c>
      <c r="E71" s="371">
        <v>236</v>
      </c>
      <c r="F71" s="371">
        <v>204</v>
      </c>
      <c r="G71" s="371">
        <v>196</v>
      </c>
      <c r="H71" s="371">
        <v>218</v>
      </c>
      <c r="I71" s="371">
        <v>173</v>
      </c>
      <c r="J71" s="371">
        <v>203</v>
      </c>
      <c r="K71" s="371">
        <v>266</v>
      </c>
      <c r="L71" s="371">
        <v>325</v>
      </c>
      <c r="M71" s="371">
        <v>324</v>
      </c>
      <c r="N71" s="371">
        <v>308</v>
      </c>
      <c r="O71" s="371">
        <v>306</v>
      </c>
      <c r="P71" s="371">
        <v>332</v>
      </c>
      <c r="Q71" s="371">
        <v>340</v>
      </c>
      <c r="R71" s="371">
        <v>324</v>
      </c>
      <c r="S71" s="371">
        <v>1388</v>
      </c>
      <c r="T71" s="371">
        <v>1501</v>
      </c>
      <c r="U71" s="371">
        <v>1604</v>
      </c>
      <c r="V71" s="371">
        <v>1822</v>
      </c>
      <c r="W71" s="371">
        <v>1735</v>
      </c>
      <c r="X71" s="371">
        <v>1534</v>
      </c>
      <c r="Y71" s="371">
        <v>1282</v>
      </c>
      <c r="Z71" s="371">
        <v>1198</v>
      </c>
      <c r="AA71" s="371">
        <v>1253</v>
      </c>
      <c r="AB71" s="371">
        <v>1146</v>
      </c>
      <c r="AC71" s="371">
        <v>904</v>
      </c>
      <c r="AD71" s="371">
        <v>670</v>
      </c>
      <c r="AE71" s="371">
        <v>550</v>
      </c>
      <c r="AF71" s="371">
        <v>636</v>
      </c>
      <c r="AG71" s="371">
        <v>3</v>
      </c>
      <c r="AI71" s="370">
        <v>9593</v>
      </c>
      <c r="AJ71" s="371">
        <v>116</v>
      </c>
      <c r="AK71" s="371">
        <v>120</v>
      </c>
      <c r="AL71" s="371">
        <v>87</v>
      </c>
      <c r="AM71" s="371">
        <v>103</v>
      </c>
      <c r="AN71" s="371">
        <v>102</v>
      </c>
      <c r="AO71" s="371">
        <v>97</v>
      </c>
      <c r="AP71" s="371">
        <v>105</v>
      </c>
      <c r="AQ71" s="371">
        <v>134</v>
      </c>
      <c r="AR71" s="371">
        <v>161</v>
      </c>
      <c r="AS71" s="371">
        <v>154</v>
      </c>
      <c r="AT71" s="371">
        <v>165</v>
      </c>
      <c r="AU71" s="371">
        <v>173</v>
      </c>
      <c r="AV71" s="371">
        <v>174</v>
      </c>
      <c r="AW71" s="371">
        <v>166</v>
      </c>
      <c r="AX71" s="371">
        <v>169</v>
      </c>
      <c r="AY71" s="371">
        <v>668</v>
      </c>
      <c r="AZ71" s="371">
        <v>732</v>
      </c>
      <c r="BA71" s="371">
        <v>707</v>
      </c>
      <c r="BB71" s="371">
        <v>750</v>
      </c>
      <c r="BC71" s="371">
        <v>689</v>
      </c>
      <c r="BD71" s="371">
        <v>635</v>
      </c>
      <c r="BE71" s="371">
        <v>557</v>
      </c>
      <c r="BF71" s="371">
        <v>526</v>
      </c>
      <c r="BG71" s="371">
        <v>561</v>
      </c>
      <c r="BH71" s="371">
        <v>516</v>
      </c>
      <c r="BI71" s="371">
        <v>431</v>
      </c>
      <c r="BJ71" s="371">
        <v>304</v>
      </c>
      <c r="BK71" s="371">
        <v>247</v>
      </c>
      <c r="BL71" s="371">
        <v>243</v>
      </c>
      <c r="BM71" s="371">
        <v>1</v>
      </c>
      <c r="BO71" s="370">
        <v>11604</v>
      </c>
      <c r="BP71" s="371">
        <v>100</v>
      </c>
      <c r="BQ71" s="371">
        <v>116</v>
      </c>
      <c r="BR71" s="371">
        <v>117</v>
      </c>
      <c r="BS71" s="371">
        <v>93</v>
      </c>
      <c r="BT71" s="371">
        <v>116</v>
      </c>
      <c r="BU71" s="371">
        <v>76</v>
      </c>
      <c r="BV71" s="371">
        <v>98</v>
      </c>
      <c r="BW71" s="371">
        <v>132</v>
      </c>
      <c r="BX71" s="371">
        <v>164</v>
      </c>
      <c r="BY71" s="371">
        <v>170</v>
      </c>
      <c r="BZ71" s="371">
        <v>143</v>
      </c>
      <c r="CA71" s="371">
        <v>133</v>
      </c>
      <c r="CB71" s="371">
        <v>158</v>
      </c>
      <c r="CC71" s="371">
        <v>174</v>
      </c>
      <c r="CD71" s="371">
        <v>155</v>
      </c>
      <c r="CE71" s="371">
        <v>720</v>
      </c>
      <c r="CF71" s="371">
        <v>769</v>
      </c>
      <c r="CG71" s="371">
        <v>897</v>
      </c>
      <c r="CH71" s="371">
        <v>1072</v>
      </c>
      <c r="CI71" s="371">
        <v>1046</v>
      </c>
      <c r="CJ71" s="371">
        <v>899</v>
      </c>
      <c r="CK71" s="371">
        <v>725</v>
      </c>
      <c r="CL71" s="371">
        <v>672</v>
      </c>
      <c r="CM71" s="371">
        <v>692</v>
      </c>
      <c r="CN71" s="371">
        <v>630</v>
      </c>
      <c r="CO71" s="371">
        <v>473</v>
      </c>
      <c r="CP71" s="371">
        <v>366</v>
      </c>
      <c r="CQ71" s="371">
        <v>303</v>
      </c>
      <c r="CR71" s="371">
        <v>393</v>
      </c>
      <c r="CS71" s="371">
        <v>2</v>
      </c>
    </row>
    <row r="72" spans="2:100" s="375" customFormat="1" hidden="1" x14ac:dyDescent="0.2">
      <c r="B72" s="369"/>
      <c r="C72" s="370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63"/>
      <c r="AI72" s="370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63"/>
      <c r="BO72" s="370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71"/>
      <c r="CK72" s="371"/>
      <c r="CL72" s="371"/>
      <c r="CM72" s="371"/>
      <c r="CN72" s="371"/>
      <c r="CO72" s="371"/>
      <c r="CP72" s="371"/>
      <c r="CQ72" s="371"/>
      <c r="CR72" s="371"/>
      <c r="CS72" s="371"/>
      <c r="CT72" s="363"/>
      <c r="CU72" s="363"/>
      <c r="CV72" s="363"/>
    </row>
    <row r="73" spans="2:100" s="375" customFormat="1" hidden="1" x14ac:dyDescent="0.2">
      <c r="B73" s="371" t="s">
        <v>264</v>
      </c>
      <c r="C73" s="370">
        <v>16842.002</v>
      </c>
      <c r="D73" s="371">
        <v>58.366</v>
      </c>
      <c r="E73" s="371">
        <v>91.717999999999989</v>
      </c>
      <c r="F73" s="371">
        <v>141.36700000000002</v>
      </c>
      <c r="G73" s="371">
        <v>145.15699999999998</v>
      </c>
      <c r="H73" s="371">
        <v>197.83800000000002</v>
      </c>
      <c r="I73" s="371">
        <v>178.50900000000001</v>
      </c>
      <c r="J73" s="371">
        <v>183.43600000000001</v>
      </c>
      <c r="K73" s="371">
        <v>193.29000000000002</v>
      </c>
      <c r="L73" s="371">
        <v>222.09399999999999</v>
      </c>
      <c r="M73" s="371">
        <v>218.304</v>
      </c>
      <c r="N73" s="371">
        <v>222.09399999999999</v>
      </c>
      <c r="O73" s="371">
        <v>231.94799999999998</v>
      </c>
      <c r="P73" s="371">
        <v>246.72900000000001</v>
      </c>
      <c r="Q73" s="371">
        <v>228.916</v>
      </c>
      <c r="R73" s="371">
        <v>233.84300000000002</v>
      </c>
      <c r="S73" s="371">
        <v>1159.74</v>
      </c>
      <c r="T73" s="371">
        <v>1169.973</v>
      </c>
      <c r="U73" s="371">
        <v>1264.723</v>
      </c>
      <c r="V73" s="371">
        <v>1243.499</v>
      </c>
      <c r="W73" s="371">
        <v>1165.8040000000001</v>
      </c>
      <c r="X73" s="371">
        <v>1068.4010000000001</v>
      </c>
      <c r="Y73" s="371">
        <v>964.55499999999995</v>
      </c>
      <c r="Z73" s="371">
        <v>985.02099999999996</v>
      </c>
      <c r="AA73" s="371">
        <v>1095.6889999999999</v>
      </c>
      <c r="AB73" s="371">
        <v>1063.095</v>
      </c>
      <c r="AC73" s="371">
        <v>928.17100000000005</v>
      </c>
      <c r="AD73" s="371">
        <v>698.49700000000007</v>
      </c>
      <c r="AE73" s="371">
        <v>539.31700000000001</v>
      </c>
      <c r="AF73" s="371">
        <v>695.84400000000005</v>
      </c>
      <c r="AG73" s="371">
        <v>6.0640000000000001</v>
      </c>
      <c r="AI73" s="370">
        <v>7880.9260000000004</v>
      </c>
      <c r="AJ73" s="371">
        <v>29.562000000000001</v>
      </c>
      <c r="AK73" s="371">
        <v>45.100999999999999</v>
      </c>
      <c r="AL73" s="371">
        <v>75.042000000000002</v>
      </c>
      <c r="AM73" s="371">
        <v>71.631</v>
      </c>
      <c r="AN73" s="371">
        <v>106.12</v>
      </c>
      <c r="AO73" s="371">
        <v>88.307000000000002</v>
      </c>
      <c r="AP73" s="371">
        <v>92.855000000000004</v>
      </c>
      <c r="AQ73" s="371">
        <v>99.298000000000002</v>
      </c>
      <c r="AR73" s="371">
        <v>107.636</v>
      </c>
      <c r="AS73" s="371">
        <v>110.289</v>
      </c>
      <c r="AT73" s="371">
        <v>112.94200000000001</v>
      </c>
      <c r="AU73" s="371">
        <v>114.458</v>
      </c>
      <c r="AV73" s="371">
        <v>133.40800000000002</v>
      </c>
      <c r="AW73" s="371">
        <v>112.94200000000001</v>
      </c>
      <c r="AX73" s="371">
        <v>120.143</v>
      </c>
      <c r="AY73" s="371">
        <v>588.96600000000001</v>
      </c>
      <c r="AZ73" s="371">
        <v>585.93399999999997</v>
      </c>
      <c r="BA73" s="371">
        <v>607.53700000000003</v>
      </c>
      <c r="BB73" s="371">
        <v>548.79200000000003</v>
      </c>
      <c r="BC73" s="371">
        <v>536.28499999999997</v>
      </c>
      <c r="BD73" s="371">
        <v>477.161</v>
      </c>
      <c r="BE73" s="371">
        <v>430.54399999999998</v>
      </c>
      <c r="BF73" s="371">
        <v>441.53500000000003</v>
      </c>
      <c r="BG73" s="371">
        <v>507.86</v>
      </c>
      <c r="BH73" s="371">
        <v>479.435</v>
      </c>
      <c r="BI73" s="371">
        <v>440.77699999999999</v>
      </c>
      <c r="BJ73" s="371">
        <v>309.26400000000001</v>
      </c>
      <c r="BK73" s="371">
        <v>228.15800000000002</v>
      </c>
      <c r="BL73" s="371">
        <v>275.154</v>
      </c>
      <c r="BM73" s="371">
        <v>3.79</v>
      </c>
      <c r="BO73" s="370">
        <v>8961.0759999999991</v>
      </c>
      <c r="BP73" s="371">
        <v>28.804000000000002</v>
      </c>
      <c r="BQ73" s="371">
        <v>46.616999999999997</v>
      </c>
      <c r="BR73" s="371">
        <v>66.325000000000003</v>
      </c>
      <c r="BS73" s="371">
        <v>73.525999999999996</v>
      </c>
      <c r="BT73" s="371">
        <v>91.718000000000004</v>
      </c>
      <c r="BU73" s="371">
        <v>90.201999999999998</v>
      </c>
      <c r="BV73" s="371">
        <v>90.581000000000003</v>
      </c>
      <c r="BW73" s="371">
        <v>93.992000000000004</v>
      </c>
      <c r="BX73" s="371">
        <v>114.458</v>
      </c>
      <c r="BY73" s="371">
        <v>108.015</v>
      </c>
      <c r="BZ73" s="371">
        <v>109.152</v>
      </c>
      <c r="CA73" s="371">
        <v>117.49</v>
      </c>
      <c r="CB73" s="371">
        <v>113.321</v>
      </c>
      <c r="CC73" s="371">
        <v>115.974</v>
      </c>
      <c r="CD73" s="371">
        <v>113.7</v>
      </c>
      <c r="CE73" s="371">
        <v>570.774</v>
      </c>
      <c r="CF73" s="371">
        <v>584.03899999999999</v>
      </c>
      <c r="CG73" s="371">
        <v>657.18600000000004</v>
      </c>
      <c r="CH73" s="371">
        <v>694.70699999999999</v>
      </c>
      <c r="CI73" s="371">
        <v>629.51900000000001</v>
      </c>
      <c r="CJ73" s="371">
        <v>591.24</v>
      </c>
      <c r="CK73" s="371">
        <v>534.01099999999997</v>
      </c>
      <c r="CL73" s="371">
        <v>543.48599999999999</v>
      </c>
      <c r="CM73" s="371">
        <v>587.82899999999995</v>
      </c>
      <c r="CN73" s="371">
        <v>583.66</v>
      </c>
      <c r="CO73" s="371">
        <v>487.39400000000001</v>
      </c>
      <c r="CP73" s="371">
        <v>389.233</v>
      </c>
      <c r="CQ73" s="371">
        <v>311.15899999999999</v>
      </c>
      <c r="CR73" s="371">
        <v>420.69</v>
      </c>
      <c r="CS73" s="371">
        <v>2.274</v>
      </c>
    </row>
    <row r="74" spans="2:100" s="375" customFormat="1" hidden="1" x14ac:dyDescent="0.2">
      <c r="B74" s="371" t="s">
        <v>265</v>
      </c>
      <c r="C74" s="370">
        <v>14753.416000000001</v>
      </c>
      <c r="D74" s="371">
        <v>51.128</v>
      </c>
      <c r="E74" s="371">
        <v>80.344000000000008</v>
      </c>
      <c r="F74" s="371">
        <v>123.83600000000001</v>
      </c>
      <c r="G74" s="371">
        <v>127.15600000000001</v>
      </c>
      <c r="H74" s="371">
        <v>173.30400000000003</v>
      </c>
      <c r="I74" s="371">
        <v>156.37200000000001</v>
      </c>
      <c r="J74" s="371">
        <v>160.68799999999999</v>
      </c>
      <c r="K74" s="371">
        <v>169.32</v>
      </c>
      <c r="L74" s="371">
        <v>194.55200000000002</v>
      </c>
      <c r="M74" s="371">
        <v>191.23200000000003</v>
      </c>
      <c r="N74" s="371">
        <v>194.55200000000002</v>
      </c>
      <c r="O74" s="371">
        <v>203.18400000000003</v>
      </c>
      <c r="P74" s="371">
        <v>216.13200000000001</v>
      </c>
      <c r="Q74" s="371">
        <v>200.52800000000002</v>
      </c>
      <c r="R74" s="371">
        <v>204.84399999999999</v>
      </c>
      <c r="S74" s="371">
        <v>1015.9200000000001</v>
      </c>
      <c r="T74" s="371">
        <v>1024.884</v>
      </c>
      <c r="U74" s="371">
        <v>1107.884</v>
      </c>
      <c r="V74" s="371">
        <v>1089.2920000000001</v>
      </c>
      <c r="W74" s="371">
        <v>1021.232</v>
      </c>
      <c r="X74" s="371">
        <v>935.90800000000013</v>
      </c>
      <c r="Y74" s="371">
        <v>844.94</v>
      </c>
      <c r="Z74" s="371">
        <v>862.86800000000005</v>
      </c>
      <c r="AA74" s="371">
        <v>959.81200000000001</v>
      </c>
      <c r="AB74" s="371">
        <v>931.26</v>
      </c>
      <c r="AC74" s="371">
        <v>813.06799999999998</v>
      </c>
      <c r="AD74" s="371">
        <v>611.87599999999998</v>
      </c>
      <c r="AE74" s="371">
        <v>472.43600000000004</v>
      </c>
      <c r="AF74" s="371">
        <v>609.55200000000002</v>
      </c>
      <c r="AG74" s="371">
        <v>5.3120000000000003</v>
      </c>
      <c r="AI74" s="370">
        <v>6903.6079999999993</v>
      </c>
      <c r="AJ74" s="371">
        <v>25.896000000000001</v>
      </c>
      <c r="AK74" s="371">
        <v>39.508000000000003</v>
      </c>
      <c r="AL74" s="371">
        <v>65.736000000000004</v>
      </c>
      <c r="AM74" s="371">
        <v>62.748000000000005</v>
      </c>
      <c r="AN74" s="371">
        <v>92.960000000000008</v>
      </c>
      <c r="AO74" s="371">
        <v>77.356000000000009</v>
      </c>
      <c r="AP74" s="371">
        <v>81.34</v>
      </c>
      <c r="AQ74" s="371">
        <v>86.984000000000009</v>
      </c>
      <c r="AR74" s="371">
        <v>94.288000000000011</v>
      </c>
      <c r="AS74" s="371">
        <v>96.612000000000009</v>
      </c>
      <c r="AT74" s="371">
        <v>98.936000000000007</v>
      </c>
      <c r="AU74" s="371">
        <v>100.26400000000001</v>
      </c>
      <c r="AV74" s="371">
        <v>116.864</v>
      </c>
      <c r="AW74" s="371">
        <v>98.936000000000007</v>
      </c>
      <c r="AX74" s="371">
        <v>105.244</v>
      </c>
      <c r="AY74" s="371">
        <v>515.928</v>
      </c>
      <c r="AZ74" s="371">
        <v>513.27200000000005</v>
      </c>
      <c r="BA74" s="371">
        <v>532.19600000000003</v>
      </c>
      <c r="BB74" s="371">
        <v>480.73600000000005</v>
      </c>
      <c r="BC74" s="371">
        <v>469.78000000000003</v>
      </c>
      <c r="BD74" s="371">
        <v>417.988</v>
      </c>
      <c r="BE74" s="371">
        <v>377.15200000000004</v>
      </c>
      <c r="BF74" s="371">
        <v>386.78000000000003</v>
      </c>
      <c r="BG74" s="371">
        <v>444.88</v>
      </c>
      <c r="BH74" s="371">
        <v>419.98</v>
      </c>
      <c r="BI74" s="371">
        <v>386.11600000000004</v>
      </c>
      <c r="BJ74" s="371">
        <v>270.91200000000003</v>
      </c>
      <c r="BK74" s="371">
        <v>199.864</v>
      </c>
      <c r="BL74" s="371">
        <v>241.03200000000001</v>
      </c>
      <c r="BM74" s="371">
        <v>3.3200000000000003</v>
      </c>
      <c r="BO74" s="370">
        <v>7849.808</v>
      </c>
      <c r="BP74" s="371">
        <v>25.232000000000003</v>
      </c>
      <c r="BQ74" s="371">
        <v>40.836000000000006</v>
      </c>
      <c r="BR74" s="371">
        <v>58.1</v>
      </c>
      <c r="BS74" s="371">
        <v>64.408000000000001</v>
      </c>
      <c r="BT74" s="371">
        <v>80.344000000000008</v>
      </c>
      <c r="BU74" s="371">
        <v>79.016000000000005</v>
      </c>
      <c r="BV74" s="371">
        <v>79.347999999999999</v>
      </c>
      <c r="BW74" s="371">
        <v>82.335999999999999</v>
      </c>
      <c r="BX74" s="371">
        <v>100.26400000000001</v>
      </c>
      <c r="BY74" s="371">
        <v>94.62</v>
      </c>
      <c r="BZ74" s="371">
        <v>95.616</v>
      </c>
      <c r="CA74" s="371">
        <v>102.92</v>
      </c>
      <c r="CB74" s="371">
        <v>99.268000000000001</v>
      </c>
      <c r="CC74" s="371">
        <v>101.592</v>
      </c>
      <c r="CD74" s="371">
        <v>99.600000000000009</v>
      </c>
      <c r="CE74" s="371">
        <v>499.99200000000002</v>
      </c>
      <c r="CF74" s="371">
        <v>511.61200000000002</v>
      </c>
      <c r="CG74" s="371">
        <v>575.68799999999999</v>
      </c>
      <c r="CH74" s="371">
        <v>608.55600000000004</v>
      </c>
      <c r="CI74" s="371">
        <v>551.452</v>
      </c>
      <c r="CJ74" s="371">
        <v>517.92000000000007</v>
      </c>
      <c r="CK74" s="371">
        <v>467.78800000000001</v>
      </c>
      <c r="CL74" s="371">
        <v>476.08800000000002</v>
      </c>
      <c r="CM74" s="371">
        <v>514.93200000000002</v>
      </c>
      <c r="CN74" s="371">
        <v>511.28000000000003</v>
      </c>
      <c r="CO74" s="371">
        <v>426.952</v>
      </c>
      <c r="CP74" s="371">
        <v>340.964</v>
      </c>
      <c r="CQ74" s="371">
        <v>272.572</v>
      </c>
      <c r="CR74" s="371">
        <v>368.52000000000004</v>
      </c>
      <c r="CS74" s="371">
        <v>1.992</v>
      </c>
    </row>
    <row r="75" spans="2:100" s="375" customFormat="1" hidden="1" x14ac:dyDescent="0.2">
      <c r="B75" s="371" t="s">
        <v>266</v>
      </c>
      <c r="C75" s="370">
        <v>1022.0740000000001</v>
      </c>
      <c r="D75" s="371">
        <v>3.5419999999999998</v>
      </c>
      <c r="E75" s="371">
        <v>5.5659999999999998</v>
      </c>
      <c r="F75" s="371">
        <v>8.5790000000000006</v>
      </c>
      <c r="G75" s="371">
        <v>8.8089999999999993</v>
      </c>
      <c r="H75" s="371">
        <v>12.006</v>
      </c>
      <c r="I75" s="371">
        <v>10.833</v>
      </c>
      <c r="J75" s="371">
        <v>11.132</v>
      </c>
      <c r="K75" s="371">
        <v>11.73</v>
      </c>
      <c r="L75" s="371">
        <v>13.478</v>
      </c>
      <c r="M75" s="371">
        <v>13.247999999999999</v>
      </c>
      <c r="N75" s="371">
        <v>13.478</v>
      </c>
      <c r="O75" s="371">
        <v>14.076000000000001</v>
      </c>
      <c r="P75" s="371">
        <v>14.972999999999999</v>
      </c>
      <c r="Q75" s="371">
        <v>13.891999999999999</v>
      </c>
      <c r="R75" s="371">
        <v>14.190999999999999</v>
      </c>
      <c r="S75" s="371">
        <v>70.38</v>
      </c>
      <c r="T75" s="371">
        <v>71.001000000000005</v>
      </c>
      <c r="U75" s="371">
        <v>76.751000000000005</v>
      </c>
      <c r="V75" s="371">
        <v>75.462999999999994</v>
      </c>
      <c r="W75" s="371">
        <v>70.74799999999999</v>
      </c>
      <c r="X75" s="371">
        <v>64.837000000000003</v>
      </c>
      <c r="Y75" s="371">
        <v>58.534999999999997</v>
      </c>
      <c r="Z75" s="371">
        <v>59.777000000000001</v>
      </c>
      <c r="AA75" s="371">
        <v>66.492999999999995</v>
      </c>
      <c r="AB75" s="371">
        <v>64.515000000000001</v>
      </c>
      <c r="AC75" s="371">
        <v>56.326999999999998</v>
      </c>
      <c r="AD75" s="371">
        <v>42.388999999999996</v>
      </c>
      <c r="AE75" s="371">
        <v>32.728999999999999</v>
      </c>
      <c r="AF75" s="371">
        <v>42.228000000000002</v>
      </c>
      <c r="AG75" s="371">
        <v>0.36799999999999999</v>
      </c>
      <c r="AI75" s="370">
        <v>478.26200000000006</v>
      </c>
      <c r="AJ75" s="371">
        <v>1.794</v>
      </c>
      <c r="AK75" s="371">
        <v>2.7370000000000001</v>
      </c>
      <c r="AL75" s="371">
        <v>4.5540000000000003</v>
      </c>
      <c r="AM75" s="371">
        <v>4.3469999999999995</v>
      </c>
      <c r="AN75" s="371">
        <v>6.4399999999999995</v>
      </c>
      <c r="AO75" s="371">
        <v>5.359</v>
      </c>
      <c r="AP75" s="371">
        <v>5.6349999999999998</v>
      </c>
      <c r="AQ75" s="371">
        <v>6.0259999999999998</v>
      </c>
      <c r="AR75" s="371">
        <v>6.532</v>
      </c>
      <c r="AS75" s="371">
        <v>6.6929999999999996</v>
      </c>
      <c r="AT75" s="371">
        <v>6.8540000000000001</v>
      </c>
      <c r="AU75" s="371">
        <v>6.9459999999999997</v>
      </c>
      <c r="AV75" s="371">
        <v>8.0960000000000001</v>
      </c>
      <c r="AW75" s="371">
        <v>6.8540000000000001</v>
      </c>
      <c r="AX75" s="371">
        <v>7.2909999999999995</v>
      </c>
      <c r="AY75" s="371">
        <v>35.741999999999997</v>
      </c>
      <c r="AZ75" s="371">
        <v>35.558</v>
      </c>
      <c r="BA75" s="371">
        <v>36.869</v>
      </c>
      <c r="BB75" s="371">
        <v>33.304000000000002</v>
      </c>
      <c r="BC75" s="371">
        <v>32.545000000000002</v>
      </c>
      <c r="BD75" s="371">
        <v>28.957000000000001</v>
      </c>
      <c r="BE75" s="371">
        <v>26.128</v>
      </c>
      <c r="BF75" s="371">
        <v>26.794999999999998</v>
      </c>
      <c r="BG75" s="371">
        <v>30.82</v>
      </c>
      <c r="BH75" s="371">
        <v>29.094999999999999</v>
      </c>
      <c r="BI75" s="371">
        <v>26.748999999999999</v>
      </c>
      <c r="BJ75" s="371">
        <v>18.768000000000001</v>
      </c>
      <c r="BK75" s="371">
        <v>13.846</v>
      </c>
      <c r="BL75" s="371">
        <v>16.698</v>
      </c>
      <c r="BM75" s="371">
        <v>0.22999999999999998</v>
      </c>
      <c r="BO75" s="370">
        <v>543.8119999999999</v>
      </c>
      <c r="BP75" s="371">
        <v>1.748</v>
      </c>
      <c r="BQ75" s="371">
        <v>2.8289999999999997</v>
      </c>
      <c r="BR75" s="371">
        <v>4.0250000000000004</v>
      </c>
      <c r="BS75" s="371">
        <v>4.4619999999999997</v>
      </c>
      <c r="BT75" s="371">
        <v>5.5659999999999998</v>
      </c>
      <c r="BU75" s="371">
        <v>5.4740000000000002</v>
      </c>
      <c r="BV75" s="371">
        <v>5.4969999999999999</v>
      </c>
      <c r="BW75" s="371">
        <v>5.7039999999999997</v>
      </c>
      <c r="BX75" s="371">
        <v>6.9459999999999997</v>
      </c>
      <c r="BY75" s="371">
        <v>6.5549999999999997</v>
      </c>
      <c r="BZ75" s="371">
        <v>6.6239999999999997</v>
      </c>
      <c r="CA75" s="371">
        <v>7.13</v>
      </c>
      <c r="CB75" s="371">
        <v>6.8769999999999998</v>
      </c>
      <c r="CC75" s="371">
        <v>7.0380000000000003</v>
      </c>
      <c r="CD75" s="371">
        <v>6.8999999999999995</v>
      </c>
      <c r="CE75" s="371">
        <v>34.637999999999998</v>
      </c>
      <c r="CF75" s="371">
        <v>35.442999999999998</v>
      </c>
      <c r="CG75" s="371">
        <v>39.881999999999998</v>
      </c>
      <c r="CH75" s="371">
        <v>42.158999999999999</v>
      </c>
      <c r="CI75" s="371">
        <v>38.202999999999996</v>
      </c>
      <c r="CJ75" s="371">
        <v>35.880000000000003</v>
      </c>
      <c r="CK75" s="371">
        <v>32.406999999999996</v>
      </c>
      <c r="CL75" s="371">
        <v>32.981999999999999</v>
      </c>
      <c r="CM75" s="371">
        <v>35.673000000000002</v>
      </c>
      <c r="CN75" s="371">
        <v>35.42</v>
      </c>
      <c r="CO75" s="371">
        <v>29.577999999999999</v>
      </c>
      <c r="CP75" s="371">
        <v>23.620999999999999</v>
      </c>
      <c r="CQ75" s="371">
        <v>18.882999999999999</v>
      </c>
      <c r="CR75" s="371">
        <v>25.53</v>
      </c>
      <c r="CS75" s="371">
        <v>0.13800000000000001</v>
      </c>
    </row>
    <row r="76" spans="2:100" s="375" customFormat="1" hidden="1" x14ac:dyDescent="0.2">
      <c r="B76" s="371" t="s">
        <v>267</v>
      </c>
      <c r="C76" s="370">
        <v>444.38000000000011</v>
      </c>
      <c r="D76" s="371">
        <v>1.54</v>
      </c>
      <c r="E76" s="371">
        <v>2.42</v>
      </c>
      <c r="F76" s="371">
        <v>3.73</v>
      </c>
      <c r="G76" s="371">
        <v>3.83</v>
      </c>
      <c r="H76" s="371">
        <v>5.2200000000000006</v>
      </c>
      <c r="I76" s="371">
        <v>4.71</v>
      </c>
      <c r="J76" s="371">
        <v>4.84</v>
      </c>
      <c r="K76" s="371">
        <v>5.0999999999999996</v>
      </c>
      <c r="L76" s="371">
        <v>5.8599999999999994</v>
      </c>
      <c r="M76" s="371">
        <v>5.76</v>
      </c>
      <c r="N76" s="371">
        <v>5.8599999999999994</v>
      </c>
      <c r="O76" s="371">
        <v>6.12</v>
      </c>
      <c r="P76" s="371">
        <v>6.51</v>
      </c>
      <c r="Q76" s="371">
        <v>6.04</v>
      </c>
      <c r="R76" s="371">
        <v>6.17</v>
      </c>
      <c r="S76" s="371">
        <v>30.6</v>
      </c>
      <c r="T76" s="371">
        <v>30.87</v>
      </c>
      <c r="U76" s="371">
        <v>33.370000000000005</v>
      </c>
      <c r="V76" s="371">
        <v>32.81</v>
      </c>
      <c r="W76" s="371">
        <v>30.759999999999998</v>
      </c>
      <c r="X76" s="371">
        <v>28.189999999999998</v>
      </c>
      <c r="Y76" s="371">
        <v>25.45</v>
      </c>
      <c r="Z76" s="371">
        <v>25.990000000000002</v>
      </c>
      <c r="AA76" s="371">
        <v>28.91</v>
      </c>
      <c r="AB76" s="371">
        <v>28.05</v>
      </c>
      <c r="AC76" s="371">
        <v>24.490000000000002</v>
      </c>
      <c r="AD76" s="371">
        <v>18.43</v>
      </c>
      <c r="AE76" s="371">
        <v>14.23</v>
      </c>
      <c r="AF76" s="371">
        <v>18.36</v>
      </c>
      <c r="AG76" s="371">
        <v>0.16</v>
      </c>
      <c r="AI76" s="370">
        <v>207.94000000000003</v>
      </c>
      <c r="AJ76" s="371">
        <v>0.78</v>
      </c>
      <c r="AK76" s="371">
        <v>1.19</v>
      </c>
      <c r="AL76" s="371">
        <v>1.98</v>
      </c>
      <c r="AM76" s="371">
        <v>1.8900000000000001</v>
      </c>
      <c r="AN76" s="371">
        <v>2.8000000000000003</v>
      </c>
      <c r="AO76" s="371">
        <v>2.33</v>
      </c>
      <c r="AP76" s="371">
        <v>2.4500000000000002</v>
      </c>
      <c r="AQ76" s="371">
        <v>2.62</v>
      </c>
      <c r="AR76" s="371">
        <v>2.84</v>
      </c>
      <c r="AS76" s="371">
        <v>2.91</v>
      </c>
      <c r="AT76" s="371">
        <v>2.98</v>
      </c>
      <c r="AU76" s="371">
        <v>3.02</v>
      </c>
      <c r="AV76" s="371">
        <v>3.52</v>
      </c>
      <c r="AW76" s="371">
        <v>2.98</v>
      </c>
      <c r="AX76" s="371">
        <v>3.17</v>
      </c>
      <c r="AY76" s="371">
        <v>15.540000000000001</v>
      </c>
      <c r="AZ76" s="371">
        <v>15.46</v>
      </c>
      <c r="BA76" s="371">
        <v>16.03</v>
      </c>
      <c r="BB76" s="371">
        <v>14.48</v>
      </c>
      <c r="BC76" s="371">
        <v>14.15</v>
      </c>
      <c r="BD76" s="371">
        <v>12.59</v>
      </c>
      <c r="BE76" s="371">
        <v>11.36</v>
      </c>
      <c r="BF76" s="371">
        <v>11.65</v>
      </c>
      <c r="BG76" s="371">
        <v>13.4</v>
      </c>
      <c r="BH76" s="371">
        <v>12.65</v>
      </c>
      <c r="BI76" s="371">
        <v>11.63</v>
      </c>
      <c r="BJ76" s="371">
        <v>8.16</v>
      </c>
      <c r="BK76" s="371">
        <v>6.0200000000000005</v>
      </c>
      <c r="BL76" s="371">
        <v>7.26</v>
      </c>
      <c r="BM76" s="371">
        <v>0.1</v>
      </c>
      <c r="BO76" s="370">
        <v>236.44000000000003</v>
      </c>
      <c r="BP76" s="371">
        <v>0.76</v>
      </c>
      <c r="BQ76" s="371">
        <v>1.23</v>
      </c>
      <c r="BR76" s="371">
        <v>1.75</v>
      </c>
      <c r="BS76" s="371">
        <v>1.94</v>
      </c>
      <c r="BT76" s="371">
        <v>2.42</v>
      </c>
      <c r="BU76" s="371">
        <v>2.38</v>
      </c>
      <c r="BV76" s="371">
        <v>2.39</v>
      </c>
      <c r="BW76" s="371">
        <v>2.48</v>
      </c>
      <c r="BX76" s="371">
        <v>3.02</v>
      </c>
      <c r="BY76" s="371">
        <v>2.85</v>
      </c>
      <c r="BZ76" s="371">
        <v>2.88</v>
      </c>
      <c r="CA76" s="371">
        <v>3.1</v>
      </c>
      <c r="CB76" s="371">
        <v>2.99</v>
      </c>
      <c r="CC76" s="371">
        <v>3.06</v>
      </c>
      <c r="CD76" s="371">
        <v>3</v>
      </c>
      <c r="CE76" s="371">
        <v>15.06</v>
      </c>
      <c r="CF76" s="371">
        <v>15.41</v>
      </c>
      <c r="CG76" s="371">
        <v>17.34</v>
      </c>
      <c r="CH76" s="371">
        <v>18.330000000000002</v>
      </c>
      <c r="CI76" s="371">
        <v>16.61</v>
      </c>
      <c r="CJ76" s="371">
        <v>15.6</v>
      </c>
      <c r="CK76" s="371">
        <v>14.09</v>
      </c>
      <c r="CL76" s="371">
        <v>14.34</v>
      </c>
      <c r="CM76" s="371">
        <v>15.51</v>
      </c>
      <c r="CN76" s="371">
        <v>15.4</v>
      </c>
      <c r="CO76" s="371">
        <v>12.86</v>
      </c>
      <c r="CP76" s="371">
        <v>10.27</v>
      </c>
      <c r="CQ76" s="371">
        <v>8.2100000000000009</v>
      </c>
      <c r="CR76" s="371">
        <v>11.1</v>
      </c>
      <c r="CS76" s="371">
        <v>0.06</v>
      </c>
    </row>
    <row r="77" spans="2:100" s="375" customFormat="1" hidden="1" x14ac:dyDescent="0.2">
      <c r="B77" s="371" t="s">
        <v>268</v>
      </c>
      <c r="C77" s="370">
        <v>888.76000000000022</v>
      </c>
      <c r="D77" s="371">
        <v>3.08</v>
      </c>
      <c r="E77" s="371">
        <v>4.84</v>
      </c>
      <c r="F77" s="371">
        <v>7.46</v>
      </c>
      <c r="G77" s="371">
        <v>7.66</v>
      </c>
      <c r="H77" s="371">
        <v>10.440000000000001</v>
      </c>
      <c r="I77" s="371">
        <v>9.42</v>
      </c>
      <c r="J77" s="371">
        <v>9.68</v>
      </c>
      <c r="K77" s="371">
        <v>10.199999999999999</v>
      </c>
      <c r="L77" s="371">
        <v>11.719999999999999</v>
      </c>
      <c r="M77" s="371">
        <v>11.52</v>
      </c>
      <c r="N77" s="371">
        <v>11.719999999999999</v>
      </c>
      <c r="O77" s="371">
        <v>12.24</v>
      </c>
      <c r="P77" s="371">
        <v>13.02</v>
      </c>
      <c r="Q77" s="371">
        <v>12.08</v>
      </c>
      <c r="R77" s="371">
        <v>12.34</v>
      </c>
      <c r="S77" s="371">
        <v>61.2</v>
      </c>
      <c r="T77" s="371">
        <v>61.74</v>
      </c>
      <c r="U77" s="371">
        <v>66.740000000000009</v>
      </c>
      <c r="V77" s="371">
        <v>65.62</v>
      </c>
      <c r="W77" s="371">
        <v>61.519999999999996</v>
      </c>
      <c r="X77" s="371">
        <v>56.379999999999995</v>
      </c>
      <c r="Y77" s="371">
        <v>50.9</v>
      </c>
      <c r="Z77" s="371">
        <v>51.980000000000004</v>
      </c>
      <c r="AA77" s="371">
        <v>57.82</v>
      </c>
      <c r="AB77" s="371">
        <v>56.1</v>
      </c>
      <c r="AC77" s="371">
        <v>48.980000000000004</v>
      </c>
      <c r="AD77" s="371">
        <v>36.86</v>
      </c>
      <c r="AE77" s="371">
        <v>28.46</v>
      </c>
      <c r="AF77" s="371">
        <v>36.72</v>
      </c>
      <c r="AG77" s="371">
        <v>0.32</v>
      </c>
      <c r="AI77" s="370">
        <v>415.88000000000005</v>
      </c>
      <c r="AJ77" s="371">
        <v>1.56</v>
      </c>
      <c r="AK77" s="371">
        <v>2.38</v>
      </c>
      <c r="AL77" s="371">
        <v>3.96</v>
      </c>
      <c r="AM77" s="371">
        <v>3.7800000000000002</v>
      </c>
      <c r="AN77" s="371">
        <v>5.6000000000000005</v>
      </c>
      <c r="AO77" s="371">
        <v>4.66</v>
      </c>
      <c r="AP77" s="371">
        <v>4.9000000000000004</v>
      </c>
      <c r="AQ77" s="371">
        <v>5.24</v>
      </c>
      <c r="AR77" s="371">
        <v>5.68</v>
      </c>
      <c r="AS77" s="371">
        <v>5.82</v>
      </c>
      <c r="AT77" s="371">
        <v>5.96</v>
      </c>
      <c r="AU77" s="371">
        <v>6.04</v>
      </c>
      <c r="AV77" s="371">
        <v>7.04</v>
      </c>
      <c r="AW77" s="371">
        <v>5.96</v>
      </c>
      <c r="AX77" s="371">
        <v>6.34</v>
      </c>
      <c r="AY77" s="371">
        <v>31.080000000000002</v>
      </c>
      <c r="AZ77" s="371">
        <v>30.92</v>
      </c>
      <c r="BA77" s="371">
        <v>32.06</v>
      </c>
      <c r="BB77" s="371">
        <v>28.96</v>
      </c>
      <c r="BC77" s="371">
        <v>28.3</v>
      </c>
      <c r="BD77" s="371">
        <v>25.18</v>
      </c>
      <c r="BE77" s="371">
        <v>22.72</v>
      </c>
      <c r="BF77" s="371">
        <v>23.3</v>
      </c>
      <c r="BG77" s="371">
        <v>26.8</v>
      </c>
      <c r="BH77" s="371">
        <v>25.3</v>
      </c>
      <c r="BI77" s="371">
        <v>23.26</v>
      </c>
      <c r="BJ77" s="371">
        <v>16.32</v>
      </c>
      <c r="BK77" s="371">
        <v>12.040000000000001</v>
      </c>
      <c r="BL77" s="371">
        <v>14.52</v>
      </c>
      <c r="BM77" s="371">
        <v>0.2</v>
      </c>
      <c r="BO77" s="370">
        <v>472.88000000000005</v>
      </c>
      <c r="BP77" s="371">
        <v>1.52</v>
      </c>
      <c r="BQ77" s="371">
        <v>2.46</v>
      </c>
      <c r="BR77" s="371">
        <v>3.5</v>
      </c>
      <c r="BS77" s="371">
        <v>3.88</v>
      </c>
      <c r="BT77" s="371">
        <v>4.84</v>
      </c>
      <c r="BU77" s="371">
        <v>4.76</v>
      </c>
      <c r="BV77" s="371">
        <v>4.78</v>
      </c>
      <c r="BW77" s="371">
        <v>4.96</v>
      </c>
      <c r="BX77" s="371">
        <v>6.04</v>
      </c>
      <c r="BY77" s="371">
        <v>5.7</v>
      </c>
      <c r="BZ77" s="371">
        <v>5.76</v>
      </c>
      <c r="CA77" s="371">
        <v>6.2</v>
      </c>
      <c r="CB77" s="371">
        <v>5.98</v>
      </c>
      <c r="CC77" s="371">
        <v>6.12</v>
      </c>
      <c r="CD77" s="371">
        <v>6</v>
      </c>
      <c r="CE77" s="371">
        <v>30.12</v>
      </c>
      <c r="CF77" s="371">
        <v>30.82</v>
      </c>
      <c r="CG77" s="371">
        <v>34.68</v>
      </c>
      <c r="CH77" s="371">
        <v>36.660000000000004</v>
      </c>
      <c r="CI77" s="371">
        <v>33.22</v>
      </c>
      <c r="CJ77" s="371">
        <v>31.2</v>
      </c>
      <c r="CK77" s="371">
        <v>28.18</v>
      </c>
      <c r="CL77" s="371">
        <v>28.68</v>
      </c>
      <c r="CM77" s="371">
        <v>31.02</v>
      </c>
      <c r="CN77" s="371">
        <v>30.8</v>
      </c>
      <c r="CO77" s="371">
        <v>25.72</v>
      </c>
      <c r="CP77" s="371">
        <v>20.54</v>
      </c>
      <c r="CQ77" s="371">
        <v>16.420000000000002</v>
      </c>
      <c r="CR77" s="371">
        <v>22.2</v>
      </c>
      <c r="CS77" s="371">
        <v>0.12</v>
      </c>
    </row>
    <row r="78" spans="2:100" s="375" customFormat="1" hidden="1" x14ac:dyDescent="0.2">
      <c r="B78" s="371" t="s">
        <v>269</v>
      </c>
      <c r="C78" s="370">
        <v>5199.246000000001</v>
      </c>
      <c r="D78" s="371">
        <v>18.018000000000001</v>
      </c>
      <c r="E78" s="371">
        <v>28.314</v>
      </c>
      <c r="F78" s="371">
        <v>43.641000000000005</v>
      </c>
      <c r="G78" s="371">
        <v>44.811</v>
      </c>
      <c r="H78" s="371">
        <v>61.074000000000005</v>
      </c>
      <c r="I78" s="371">
        <v>55.106999999999999</v>
      </c>
      <c r="J78" s="371">
        <v>56.628</v>
      </c>
      <c r="K78" s="371">
        <v>59.67</v>
      </c>
      <c r="L78" s="371">
        <v>68.562000000000012</v>
      </c>
      <c r="M78" s="371">
        <v>67.391999999999996</v>
      </c>
      <c r="N78" s="371">
        <v>68.562000000000012</v>
      </c>
      <c r="O78" s="371">
        <v>71.604000000000013</v>
      </c>
      <c r="P78" s="371">
        <v>76.167000000000002</v>
      </c>
      <c r="Q78" s="371">
        <v>70.668000000000006</v>
      </c>
      <c r="R78" s="371">
        <v>72.188999999999993</v>
      </c>
      <c r="S78" s="371">
        <v>358.02</v>
      </c>
      <c r="T78" s="371">
        <v>361.17899999999997</v>
      </c>
      <c r="U78" s="371">
        <v>390.42900000000003</v>
      </c>
      <c r="V78" s="371">
        <v>383.87700000000001</v>
      </c>
      <c r="W78" s="371">
        <v>359.89200000000005</v>
      </c>
      <c r="X78" s="371">
        <v>329.82299999999998</v>
      </c>
      <c r="Y78" s="371">
        <v>297.76499999999999</v>
      </c>
      <c r="Z78" s="371">
        <v>304.08300000000003</v>
      </c>
      <c r="AA78" s="371">
        <v>338.24700000000001</v>
      </c>
      <c r="AB78" s="371">
        <v>328.185</v>
      </c>
      <c r="AC78" s="371">
        <v>286.53300000000002</v>
      </c>
      <c r="AD78" s="371">
        <v>215.63100000000003</v>
      </c>
      <c r="AE78" s="371">
        <v>166.49099999999999</v>
      </c>
      <c r="AF78" s="371">
        <v>214.81200000000001</v>
      </c>
      <c r="AG78" s="371">
        <v>1.8720000000000003</v>
      </c>
      <c r="AI78" s="370">
        <v>2432.8980000000006</v>
      </c>
      <c r="AJ78" s="371">
        <v>9.1260000000000012</v>
      </c>
      <c r="AK78" s="371">
        <v>13.923</v>
      </c>
      <c r="AL78" s="371">
        <v>23.166</v>
      </c>
      <c r="AM78" s="371">
        <v>22.113</v>
      </c>
      <c r="AN78" s="371">
        <v>32.760000000000005</v>
      </c>
      <c r="AO78" s="371">
        <v>27.261000000000003</v>
      </c>
      <c r="AP78" s="371">
        <v>28.665000000000003</v>
      </c>
      <c r="AQ78" s="371">
        <v>30.654000000000003</v>
      </c>
      <c r="AR78" s="371">
        <v>33.228000000000002</v>
      </c>
      <c r="AS78" s="371">
        <v>34.047000000000004</v>
      </c>
      <c r="AT78" s="371">
        <v>34.866</v>
      </c>
      <c r="AU78" s="371">
        <v>35.334000000000003</v>
      </c>
      <c r="AV78" s="371">
        <v>41.184000000000005</v>
      </c>
      <c r="AW78" s="371">
        <v>34.866</v>
      </c>
      <c r="AX78" s="371">
        <v>37.088999999999999</v>
      </c>
      <c r="AY78" s="371">
        <v>181.81800000000001</v>
      </c>
      <c r="AZ78" s="371">
        <v>180.88200000000001</v>
      </c>
      <c r="BA78" s="371">
        <v>187.55100000000002</v>
      </c>
      <c r="BB78" s="371">
        <v>169.416</v>
      </c>
      <c r="BC78" s="371">
        <v>165.55500000000001</v>
      </c>
      <c r="BD78" s="371">
        <v>147.303</v>
      </c>
      <c r="BE78" s="371">
        <v>132.91200000000001</v>
      </c>
      <c r="BF78" s="371">
        <v>136.30500000000001</v>
      </c>
      <c r="BG78" s="371">
        <v>156.78</v>
      </c>
      <c r="BH78" s="371">
        <v>148.005</v>
      </c>
      <c r="BI78" s="371">
        <v>136.071</v>
      </c>
      <c r="BJ78" s="371">
        <v>95.472000000000008</v>
      </c>
      <c r="BK78" s="371">
        <v>70.433999999999997</v>
      </c>
      <c r="BL78" s="371">
        <v>84.942000000000007</v>
      </c>
      <c r="BM78" s="371">
        <v>1.1700000000000002</v>
      </c>
      <c r="BO78" s="370">
        <v>2766.348</v>
      </c>
      <c r="BP78" s="371">
        <v>8.8920000000000012</v>
      </c>
      <c r="BQ78" s="371">
        <v>14.391</v>
      </c>
      <c r="BR78" s="371">
        <v>20.475000000000001</v>
      </c>
      <c r="BS78" s="371">
        <v>22.698</v>
      </c>
      <c r="BT78" s="371">
        <v>28.314</v>
      </c>
      <c r="BU78" s="371">
        <v>27.846</v>
      </c>
      <c r="BV78" s="371">
        <v>27.963000000000001</v>
      </c>
      <c r="BW78" s="371">
        <v>29.016000000000002</v>
      </c>
      <c r="BX78" s="371">
        <v>35.334000000000003</v>
      </c>
      <c r="BY78" s="371">
        <v>33.344999999999999</v>
      </c>
      <c r="BZ78" s="371">
        <v>33.696000000000005</v>
      </c>
      <c r="CA78" s="371">
        <v>36.270000000000003</v>
      </c>
      <c r="CB78" s="371">
        <v>34.983000000000004</v>
      </c>
      <c r="CC78" s="371">
        <v>35.802</v>
      </c>
      <c r="CD78" s="371">
        <v>35.1</v>
      </c>
      <c r="CE78" s="371">
        <v>176.202</v>
      </c>
      <c r="CF78" s="371">
        <v>180.297</v>
      </c>
      <c r="CG78" s="371">
        <v>202.87800000000001</v>
      </c>
      <c r="CH78" s="371">
        <v>214.46100000000001</v>
      </c>
      <c r="CI78" s="371">
        <v>194.33700000000002</v>
      </c>
      <c r="CJ78" s="371">
        <v>182.52</v>
      </c>
      <c r="CK78" s="371">
        <v>164.85300000000001</v>
      </c>
      <c r="CL78" s="371">
        <v>167.77800000000002</v>
      </c>
      <c r="CM78" s="371">
        <v>181.46700000000001</v>
      </c>
      <c r="CN78" s="371">
        <v>180.18</v>
      </c>
      <c r="CO78" s="371">
        <v>150.46200000000002</v>
      </c>
      <c r="CP78" s="371">
        <v>120.15900000000001</v>
      </c>
      <c r="CQ78" s="371">
        <v>96.057000000000002</v>
      </c>
      <c r="CR78" s="371">
        <v>129.87</v>
      </c>
      <c r="CS78" s="371">
        <v>0.70200000000000007</v>
      </c>
    </row>
    <row r="79" spans="2:100" s="375" customFormat="1" hidden="1" x14ac:dyDescent="0.2">
      <c r="B79" s="371" t="s">
        <v>270</v>
      </c>
      <c r="C79" s="370">
        <v>5288.1219999999994</v>
      </c>
      <c r="D79" s="371">
        <v>18.326000000000001</v>
      </c>
      <c r="E79" s="371">
        <v>28.797999999999998</v>
      </c>
      <c r="F79" s="371">
        <v>44.387</v>
      </c>
      <c r="G79" s="371">
        <v>45.576999999999998</v>
      </c>
      <c r="H79" s="371">
        <v>62.117999999999995</v>
      </c>
      <c r="I79" s="371">
        <v>56.048999999999999</v>
      </c>
      <c r="J79" s="371">
        <v>57.595999999999997</v>
      </c>
      <c r="K79" s="371">
        <v>60.69</v>
      </c>
      <c r="L79" s="371">
        <v>69.733999999999995</v>
      </c>
      <c r="M79" s="371">
        <v>68.543999999999997</v>
      </c>
      <c r="N79" s="371">
        <v>69.733999999999995</v>
      </c>
      <c r="O79" s="371">
        <v>72.828000000000003</v>
      </c>
      <c r="P79" s="371">
        <v>77.468999999999994</v>
      </c>
      <c r="Q79" s="371">
        <v>71.876000000000005</v>
      </c>
      <c r="R79" s="371">
        <v>73.423000000000002</v>
      </c>
      <c r="S79" s="371">
        <v>364.14</v>
      </c>
      <c r="T79" s="371">
        <v>367.35299999999995</v>
      </c>
      <c r="U79" s="371">
        <v>397.10300000000001</v>
      </c>
      <c r="V79" s="371">
        <v>390.43899999999996</v>
      </c>
      <c r="W79" s="371">
        <v>366.04399999999998</v>
      </c>
      <c r="X79" s="371">
        <v>335.46100000000001</v>
      </c>
      <c r="Y79" s="371">
        <v>302.85500000000002</v>
      </c>
      <c r="Z79" s="371">
        <v>309.28099999999995</v>
      </c>
      <c r="AA79" s="371">
        <v>344.029</v>
      </c>
      <c r="AB79" s="371">
        <v>333.79499999999996</v>
      </c>
      <c r="AC79" s="371">
        <v>291.43099999999998</v>
      </c>
      <c r="AD79" s="371">
        <v>219.31700000000001</v>
      </c>
      <c r="AE79" s="371">
        <v>169.33699999999999</v>
      </c>
      <c r="AF79" s="371">
        <v>218.48399999999998</v>
      </c>
      <c r="AG79" s="371">
        <v>1.9039999999999999</v>
      </c>
      <c r="AI79" s="370">
        <v>2474.4859999999994</v>
      </c>
      <c r="AJ79" s="371">
        <v>9.282</v>
      </c>
      <c r="AK79" s="371">
        <v>14.161</v>
      </c>
      <c r="AL79" s="371">
        <v>23.561999999999998</v>
      </c>
      <c r="AM79" s="371">
        <v>22.491</v>
      </c>
      <c r="AN79" s="371">
        <v>33.32</v>
      </c>
      <c r="AO79" s="371">
        <v>27.727</v>
      </c>
      <c r="AP79" s="371">
        <v>29.154999999999998</v>
      </c>
      <c r="AQ79" s="371">
        <v>31.177999999999997</v>
      </c>
      <c r="AR79" s="371">
        <v>33.795999999999999</v>
      </c>
      <c r="AS79" s="371">
        <v>34.628999999999998</v>
      </c>
      <c r="AT79" s="371">
        <v>35.461999999999996</v>
      </c>
      <c r="AU79" s="371">
        <v>35.937999999999995</v>
      </c>
      <c r="AV79" s="371">
        <v>41.887999999999998</v>
      </c>
      <c r="AW79" s="371">
        <v>35.461999999999996</v>
      </c>
      <c r="AX79" s="371">
        <v>37.722999999999999</v>
      </c>
      <c r="AY79" s="371">
        <v>184.92599999999999</v>
      </c>
      <c r="AZ79" s="371">
        <v>183.97399999999999</v>
      </c>
      <c r="BA79" s="371">
        <v>190.75700000000001</v>
      </c>
      <c r="BB79" s="371">
        <v>172.31199999999998</v>
      </c>
      <c r="BC79" s="371">
        <v>168.38499999999999</v>
      </c>
      <c r="BD79" s="371">
        <v>149.821</v>
      </c>
      <c r="BE79" s="371">
        <v>135.184</v>
      </c>
      <c r="BF79" s="371">
        <v>138.63499999999999</v>
      </c>
      <c r="BG79" s="371">
        <v>159.45999999999998</v>
      </c>
      <c r="BH79" s="371">
        <v>150.535</v>
      </c>
      <c r="BI79" s="371">
        <v>138.39699999999999</v>
      </c>
      <c r="BJ79" s="371">
        <v>97.103999999999999</v>
      </c>
      <c r="BK79" s="371">
        <v>71.637999999999991</v>
      </c>
      <c r="BL79" s="371">
        <v>86.393999999999991</v>
      </c>
      <c r="BM79" s="371">
        <v>1.19</v>
      </c>
      <c r="BO79" s="370">
        <v>2813.636</v>
      </c>
      <c r="BP79" s="371">
        <v>9.0440000000000005</v>
      </c>
      <c r="BQ79" s="371">
        <v>14.636999999999999</v>
      </c>
      <c r="BR79" s="371">
        <v>20.824999999999999</v>
      </c>
      <c r="BS79" s="371">
        <v>23.085999999999999</v>
      </c>
      <c r="BT79" s="371">
        <v>28.797999999999998</v>
      </c>
      <c r="BU79" s="371">
        <v>28.321999999999999</v>
      </c>
      <c r="BV79" s="371">
        <v>28.440999999999999</v>
      </c>
      <c r="BW79" s="371">
        <v>29.512</v>
      </c>
      <c r="BX79" s="371">
        <v>35.937999999999995</v>
      </c>
      <c r="BY79" s="371">
        <v>33.914999999999999</v>
      </c>
      <c r="BZ79" s="371">
        <v>34.271999999999998</v>
      </c>
      <c r="CA79" s="371">
        <v>36.89</v>
      </c>
      <c r="CB79" s="371">
        <v>35.580999999999996</v>
      </c>
      <c r="CC79" s="371">
        <v>36.414000000000001</v>
      </c>
      <c r="CD79" s="371">
        <v>35.699999999999996</v>
      </c>
      <c r="CE79" s="371">
        <v>179.214</v>
      </c>
      <c r="CF79" s="371">
        <v>183.37899999999999</v>
      </c>
      <c r="CG79" s="371">
        <v>206.346</v>
      </c>
      <c r="CH79" s="371">
        <v>218.12699999999998</v>
      </c>
      <c r="CI79" s="371">
        <v>197.65899999999999</v>
      </c>
      <c r="CJ79" s="371">
        <v>185.64</v>
      </c>
      <c r="CK79" s="371">
        <v>167.67099999999999</v>
      </c>
      <c r="CL79" s="371">
        <v>170.64599999999999</v>
      </c>
      <c r="CM79" s="371">
        <v>184.56899999999999</v>
      </c>
      <c r="CN79" s="371">
        <v>183.26</v>
      </c>
      <c r="CO79" s="371">
        <v>153.03399999999999</v>
      </c>
      <c r="CP79" s="371">
        <v>122.21299999999999</v>
      </c>
      <c r="CQ79" s="371">
        <v>97.698999999999998</v>
      </c>
      <c r="CR79" s="371">
        <v>132.09</v>
      </c>
      <c r="CS79" s="371">
        <v>0.71399999999999997</v>
      </c>
    </row>
    <row r="80" spans="2:100" ht="17.25" hidden="1" customHeight="1" x14ac:dyDescent="0.2">
      <c r="B80" s="370" t="s">
        <v>271</v>
      </c>
      <c r="C80" s="373">
        <v>44438</v>
      </c>
      <c r="D80" s="373">
        <v>154</v>
      </c>
      <c r="E80" s="373">
        <v>242</v>
      </c>
      <c r="F80" s="373">
        <v>373.00000000000006</v>
      </c>
      <c r="G80" s="373">
        <v>383</v>
      </c>
      <c r="H80" s="373">
        <v>522</v>
      </c>
      <c r="I80" s="373">
        <v>471</v>
      </c>
      <c r="J80" s="373">
        <v>484</v>
      </c>
      <c r="K80" s="373">
        <v>510.00000000000006</v>
      </c>
      <c r="L80" s="373">
        <v>586.00000000000011</v>
      </c>
      <c r="M80" s="373">
        <v>576</v>
      </c>
      <c r="N80" s="373">
        <v>586.00000000000011</v>
      </c>
      <c r="O80" s="373">
        <v>612</v>
      </c>
      <c r="P80" s="373">
        <v>651</v>
      </c>
      <c r="Q80" s="373">
        <v>604</v>
      </c>
      <c r="R80" s="373">
        <v>617</v>
      </c>
      <c r="S80" s="373">
        <v>3059.9999999999995</v>
      </c>
      <c r="T80" s="373">
        <v>3087</v>
      </c>
      <c r="U80" s="373">
        <v>3337</v>
      </c>
      <c r="V80" s="373">
        <v>3281</v>
      </c>
      <c r="W80" s="373">
        <v>3076</v>
      </c>
      <c r="X80" s="373">
        <v>2819</v>
      </c>
      <c r="Y80" s="373">
        <v>2545</v>
      </c>
      <c r="Z80" s="373">
        <v>2599</v>
      </c>
      <c r="AA80" s="373">
        <v>2890.9999999999995</v>
      </c>
      <c r="AB80" s="373">
        <v>2805</v>
      </c>
      <c r="AC80" s="373">
        <v>2449</v>
      </c>
      <c r="AD80" s="373">
        <v>1843</v>
      </c>
      <c r="AE80" s="373">
        <v>1423</v>
      </c>
      <c r="AF80" s="373">
        <v>1836</v>
      </c>
      <c r="AG80" s="373">
        <v>16</v>
      </c>
      <c r="AH80" s="375"/>
      <c r="AI80" s="373">
        <v>20794</v>
      </c>
      <c r="AJ80" s="373">
        <v>78</v>
      </c>
      <c r="AK80" s="373">
        <v>119</v>
      </c>
      <c r="AL80" s="373">
        <v>198</v>
      </c>
      <c r="AM80" s="373">
        <v>189</v>
      </c>
      <c r="AN80" s="373">
        <v>280</v>
      </c>
      <c r="AO80" s="373">
        <v>233.00000000000003</v>
      </c>
      <c r="AP80" s="373">
        <v>244.99999999999997</v>
      </c>
      <c r="AQ80" s="373">
        <v>262</v>
      </c>
      <c r="AR80" s="373">
        <v>284.00000000000006</v>
      </c>
      <c r="AS80" s="373">
        <v>291.00000000000006</v>
      </c>
      <c r="AT80" s="373">
        <v>298</v>
      </c>
      <c r="AU80" s="373">
        <v>302</v>
      </c>
      <c r="AV80" s="373">
        <v>352</v>
      </c>
      <c r="AW80" s="373">
        <v>298</v>
      </c>
      <c r="AX80" s="373">
        <v>317</v>
      </c>
      <c r="AY80" s="373">
        <v>1553.9999999999998</v>
      </c>
      <c r="AZ80" s="373">
        <v>1546.0000000000002</v>
      </c>
      <c r="BA80" s="373">
        <v>1603</v>
      </c>
      <c r="BB80" s="373">
        <v>1448</v>
      </c>
      <c r="BC80" s="373">
        <v>1415.0000000000002</v>
      </c>
      <c r="BD80" s="373">
        <v>1259</v>
      </c>
      <c r="BE80" s="373">
        <v>1136.0000000000002</v>
      </c>
      <c r="BF80" s="373">
        <v>1165</v>
      </c>
      <c r="BG80" s="373">
        <v>1340</v>
      </c>
      <c r="BH80" s="373">
        <v>1265</v>
      </c>
      <c r="BI80" s="373">
        <v>1163</v>
      </c>
      <c r="BJ80" s="373">
        <v>816.00000000000011</v>
      </c>
      <c r="BK80" s="373">
        <v>602.00000000000011</v>
      </c>
      <c r="BL80" s="373">
        <v>726</v>
      </c>
      <c r="BM80" s="373">
        <v>10</v>
      </c>
      <c r="BN80" s="375"/>
      <c r="BO80" s="373">
        <v>23643.999999999993</v>
      </c>
      <c r="BP80" s="373">
        <v>76</v>
      </c>
      <c r="BQ80" s="373">
        <v>123</v>
      </c>
      <c r="BR80" s="373">
        <v>175</v>
      </c>
      <c r="BS80" s="373">
        <v>194</v>
      </c>
      <c r="BT80" s="373">
        <v>242</v>
      </c>
      <c r="BU80" s="373">
        <v>238</v>
      </c>
      <c r="BV80" s="373">
        <v>238.99999999999997</v>
      </c>
      <c r="BW80" s="373">
        <v>248</v>
      </c>
      <c r="BX80" s="373">
        <v>302</v>
      </c>
      <c r="BY80" s="373">
        <v>285</v>
      </c>
      <c r="BZ80" s="373">
        <v>288</v>
      </c>
      <c r="CA80" s="373">
        <v>309.99999999999994</v>
      </c>
      <c r="CB80" s="373">
        <v>299</v>
      </c>
      <c r="CC80" s="373">
        <v>306</v>
      </c>
      <c r="CD80" s="373">
        <v>300</v>
      </c>
      <c r="CE80" s="373">
        <v>1505.9999999999998</v>
      </c>
      <c r="CF80" s="373">
        <v>1541</v>
      </c>
      <c r="CG80" s="373">
        <v>1734</v>
      </c>
      <c r="CH80" s="373">
        <v>1833</v>
      </c>
      <c r="CI80" s="373">
        <v>1661</v>
      </c>
      <c r="CJ80" s="373">
        <v>1560</v>
      </c>
      <c r="CK80" s="373">
        <v>1409</v>
      </c>
      <c r="CL80" s="373">
        <v>1434</v>
      </c>
      <c r="CM80" s="373">
        <v>1551</v>
      </c>
      <c r="CN80" s="373">
        <v>1540.0000000000002</v>
      </c>
      <c r="CO80" s="373">
        <v>1286</v>
      </c>
      <c r="CP80" s="373">
        <v>1027</v>
      </c>
      <c r="CQ80" s="373">
        <v>821</v>
      </c>
      <c r="CR80" s="373">
        <v>1110</v>
      </c>
      <c r="CS80" s="373">
        <v>6</v>
      </c>
      <c r="CT80" s="375"/>
      <c r="CU80" s="375"/>
      <c r="CV80" s="375"/>
    </row>
    <row r="81" spans="2:97" hidden="1" x14ac:dyDescent="0.2">
      <c r="B81" s="369"/>
      <c r="C81" s="370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I81" s="370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O81" s="370"/>
      <c r="BP81" s="371"/>
      <c r="BQ81" s="371"/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1"/>
      <c r="CF81" s="371"/>
      <c r="CG81" s="371"/>
      <c r="CH81" s="371"/>
      <c r="CI81" s="371"/>
      <c r="CJ81" s="371"/>
      <c r="CK81" s="371"/>
      <c r="CL81" s="371"/>
      <c r="CM81" s="371"/>
      <c r="CN81" s="371"/>
      <c r="CO81" s="371"/>
      <c r="CP81" s="371"/>
      <c r="CQ81" s="371"/>
      <c r="CR81" s="371"/>
      <c r="CS81" s="371"/>
    </row>
    <row r="82" spans="2:97" hidden="1" x14ac:dyDescent="0.2">
      <c r="B82" s="369" t="s">
        <v>272</v>
      </c>
      <c r="C82" s="370">
        <v>17181</v>
      </c>
      <c r="D82" s="371">
        <v>84</v>
      </c>
      <c r="E82" s="371">
        <v>100</v>
      </c>
      <c r="F82" s="371">
        <v>134</v>
      </c>
      <c r="G82" s="371">
        <v>139</v>
      </c>
      <c r="H82" s="371">
        <v>149</v>
      </c>
      <c r="I82" s="371">
        <v>186</v>
      </c>
      <c r="J82" s="371">
        <v>152</v>
      </c>
      <c r="K82" s="371">
        <v>188</v>
      </c>
      <c r="L82" s="371">
        <v>207</v>
      </c>
      <c r="M82" s="371">
        <v>224</v>
      </c>
      <c r="N82" s="371">
        <v>241</v>
      </c>
      <c r="O82" s="371">
        <v>230</v>
      </c>
      <c r="P82" s="371">
        <v>225</v>
      </c>
      <c r="Q82" s="371">
        <v>244</v>
      </c>
      <c r="R82" s="371">
        <v>239</v>
      </c>
      <c r="S82" s="371">
        <v>1161</v>
      </c>
      <c r="T82" s="371">
        <v>1222</v>
      </c>
      <c r="U82" s="371">
        <v>1366</v>
      </c>
      <c r="V82" s="371">
        <v>1428</v>
      </c>
      <c r="W82" s="371">
        <v>1177</v>
      </c>
      <c r="X82" s="371">
        <v>1146</v>
      </c>
      <c r="Y82" s="371">
        <v>1129</v>
      </c>
      <c r="Z82" s="371">
        <v>1139</v>
      </c>
      <c r="AA82" s="371">
        <v>1173</v>
      </c>
      <c r="AB82" s="371">
        <v>1097</v>
      </c>
      <c r="AC82" s="371">
        <v>813</v>
      </c>
      <c r="AD82" s="371">
        <v>594</v>
      </c>
      <c r="AE82" s="371">
        <v>420</v>
      </c>
      <c r="AF82" s="371">
        <v>569</v>
      </c>
      <c r="AG82" s="371">
        <v>5</v>
      </c>
      <c r="AI82" s="370">
        <v>8694</v>
      </c>
      <c r="AJ82" s="371">
        <v>47</v>
      </c>
      <c r="AK82" s="371">
        <v>44</v>
      </c>
      <c r="AL82" s="371">
        <v>67</v>
      </c>
      <c r="AM82" s="371">
        <v>73</v>
      </c>
      <c r="AN82" s="371">
        <v>69</v>
      </c>
      <c r="AO82" s="371">
        <v>93</v>
      </c>
      <c r="AP82" s="371">
        <v>71</v>
      </c>
      <c r="AQ82" s="371">
        <v>92</v>
      </c>
      <c r="AR82" s="371">
        <v>110</v>
      </c>
      <c r="AS82" s="371">
        <v>103</v>
      </c>
      <c r="AT82" s="371">
        <v>140</v>
      </c>
      <c r="AU82" s="371">
        <v>114</v>
      </c>
      <c r="AV82" s="371">
        <v>107</v>
      </c>
      <c r="AW82" s="371">
        <v>113</v>
      </c>
      <c r="AX82" s="371">
        <v>116</v>
      </c>
      <c r="AY82" s="371">
        <v>595</v>
      </c>
      <c r="AZ82" s="371">
        <v>684</v>
      </c>
      <c r="BA82" s="371">
        <v>759</v>
      </c>
      <c r="BB82" s="371">
        <v>701</v>
      </c>
      <c r="BC82" s="371">
        <v>590</v>
      </c>
      <c r="BD82" s="371">
        <v>576</v>
      </c>
      <c r="BE82" s="371">
        <v>578</v>
      </c>
      <c r="BF82" s="371">
        <v>570</v>
      </c>
      <c r="BG82" s="371">
        <v>580</v>
      </c>
      <c r="BH82" s="371">
        <v>565</v>
      </c>
      <c r="BI82" s="371">
        <v>403</v>
      </c>
      <c r="BJ82" s="371">
        <v>306</v>
      </c>
      <c r="BK82" s="371">
        <v>199</v>
      </c>
      <c r="BL82" s="371">
        <v>226</v>
      </c>
      <c r="BM82" s="371">
        <v>3</v>
      </c>
      <c r="BO82" s="370">
        <v>8487</v>
      </c>
      <c r="BP82" s="371">
        <v>37</v>
      </c>
      <c r="BQ82" s="371">
        <v>56</v>
      </c>
      <c r="BR82" s="371">
        <v>67</v>
      </c>
      <c r="BS82" s="371">
        <v>66</v>
      </c>
      <c r="BT82" s="371">
        <v>80</v>
      </c>
      <c r="BU82" s="371">
        <v>93</v>
      </c>
      <c r="BV82" s="371">
        <v>81</v>
      </c>
      <c r="BW82" s="371">
        <v>96</v>
      </c>
      <c r="BX82" s="371">
        <v>97</v>
      </c>
      <c r="BY82" s="371">
        <v>121</v>
      </c>
      <c r="BZ82" s="371">
        <v>101</v>
      </c>
      <c r="CA82" s="371">
        <v>116</v>
      </c>
      <c r="CB82" s="371">
        <v>118</v>
      </c>
      <c r="CC82" s="371">
        <v>131</v>
      </c>
      <c r="CD82" s="371">
        <v>123</v>
      </c>
      <c r="CE82" s="371">
        <v>566</v>
      </c>
      <c r="CF82" s="371">
        <v>538</v>
      </c>
      <c r="CG82" s="371">
        <v>607</v>
      </c>
      <c r="CH82" s="371">
        <v>727</v>
      </c>
      <c r="CI82" s="371">
        <v>587</v>
      </c>
      <c r="CJ82" s="371">
        <v>570</v>
      </c>
      <c r="CK82" s="371">
        <v>551</v>
      </c>
      <c r="CL82" s="371">
        <v>569</v>
      </c>
      <c r="CM82" s="371">
        <v>593</v>
      </c>
      <c r="CN82" s="371">
        <v>532</v>
      </c>
      <c r="CO82" s="371">
        <v>410</v>
      </c>
      <c r="CP82" s="371">
        <v>288</v>
      </c>
      <c r="CQ82" s="371">
        <v>221</v>
      </c>
      <c r="CR82" s="371">
        <v>343</v>
      </c>
      <c r="CS82" s="371">
        <v>2</v>
      </c>
    </row>
    <row r="83" spans="2:97" hidden="1" x14ac:dyDescent="0.2">
      <c r="B83" s="369" t="s">
        <v>273</v>
      </c>
      <c r="C83" s="370">
        <v>697</v>
      </c>
      <c r="D83" s="371">
        <v>10</v>
      </c>
      <c r="E83" s="371">
        <v>14</v>
      </c>
      <c r="F83" s="371">
        <v>23</v>
      </c>
      <c r="G83" s="371">
        <v>15</v>
      </c>
      <c r="H83" s="371">
        <v>19</v>
      </c>
      <c r="I83" s="371">
        <v>22</v>
      </c>
      <c r="J83" s="371">
        <v>18</v>
      </c>
      <c r="K83" s="371">
        <v>16</v>
      </c>
      <c r="L83" s="371">
        <v>9</v>
      </c>
      <c r="M83" s="371">
        <v>9</v>
      </c>
      <c r="N83" s="371">
        <v>8</v>
      </c>
      <c r="O83" s="371">
        <v>10</v>
      </c>
      <c r="P83" s="371">
        <v>12</v>
      </c>
      <c r="Q83" s="371">
        <v>4</v>
      </c>
      <c r="R83" s="371">
        <v>7</v>
      </c>
      <c r="S83" s="371">
        <v>28</v>
      </c>
      <c r="T83" s="371">
        <v>33</v>
      </c>
      <c r="U83" s="371">
        <v>44</v>
      </c>
      <c r="V83" s="371">
        <v>60</v>
      </c>
      <c r="W83" s="371">
        <v>50</v>
      </c>
      <c r="X83" s="371">
        <v>48</v>
      </c>
      <c r="Y83" s="371">
        <v>35</v>
      </c>
      <c r="Z83" s="371">
        <v>34</v>
      </c>
      <c r="AA83" s="371">
        <v>38</v>
      </c>
      <c r="AB83" s="371">
        <v>27</v>
      </c>
      <c r="AC83" s="371">
        <v>43</v>
      </c>
      <c r="AD83" s="371">
        <v>28</v>
      </c>
      <c r="AE83" s="371">
        <v>17</v>
      </c>
      <c r="AF83" s="371">
        <v>15</v>
      </c>
      <c r="AG83" s="371">
        <v>1</v>
      </c>
      <c r="AI83" s="370">
        <v>321</v>
      </c>
      <c r="AJ83" s="371">
        <v>5</v>
      </c>
      <c r="AK83" s="371">
        <v>6</v>
      </c>
      <c r="AL83" s="371">
        <v>14</v>
      </c>
      <c r="AM83" s="371">
        <v>7</v>
      </c>
      <c r="AN83" s="371">
        <v>5</v>
      </c>
      <c r="AO83" s="371">
        <v>6</v>
      </c>
      <c r="AP83" s="371">
        <v>10</v>
      </c>
      <c r="AQ83" s="371">
        <v>10</v>
      </c>
      <c r="AR83" s="371">
        <v>5</v>
      </c>
      <c r="AS83" s="371">
        <v>4</v>
      </c>
      <c r="AT83" s="371">
        <v>5</v>
      </c>
      <c r="AU83" s="371">
        <v>3</v>
      </c>
      <c r="AV83" s="371">
        <v>3</v>
      </c>
      <c r="AW83" s="371">
        <v>4</v>
      </c>
      <c r="AX83" s="371">
        <v>3</v>
      </c>
      <c r="AY83" s="371">
        <v>13</v>
      </c>
      <c r="AZ83" s="371">
        <v>13</v>
      </c>
      <c r="BA83" s="371">
        <v>17</v>
      </c>
      <c r="BB83" s="371">
        <v>22</v>
      </c>
      <c r="BC83" s="371">
        <v>23</v>
      </c>
      <c r="BD83" s="371">
        <v>21</v>
      </c>
      <c r="BE83" s="371">
        <v>14</v>
      </c>
      <c r="BF83" s="371">
        <v>20</v>
      </c>
      <c r="BG83" s="371">
        <v>16</v>
      </c>
      <c r="BH83" s="371">
        <v>13</v>
      </c>
      <c r="BI83" s="371">
        <v>23</v>
      </c>
      <c r="BJ83" s="371">
        <v>14</v>
      </c>
      <c r="BK83" s="371">
        <v>12</v>
      </c>
      <c r="BL83" s="371">
        <v>10</v>
      </c>
      <c r="BM83" s="371">
        <v>0</v>
      </c>
      <c r="BO83" s="370">
        <v>376</v>
      </c>
      <c r="BP83" s="371">
        <v>5</v>
      </c>
      <c r="BQ83" s="371">
        <v>8</v>
      </c>
      <c r="BR83" s="371">
        <v>9</v>
      </c>
      <c r="BS83" s="371">
        <v>8</v>
      </c>
      <c r="BT83" s="371">
        <v>14</v>
      </c>
      <c r="BU83" s="371">
        <v>16</v>
      </c>
      <c r="BV83" s="371">
        <v>8</v>
      </c>
      <c r="BW83" s="371">
        <v>6</v>
      </c>
      <c r="BX83" s="371">
        <v>4</v>
      </c>
      <c r="BY83" s="371">
        <v>5</v>
      </c>
      <c r="BZ83" s="371">
        <v>3</v>
      </c>
      <c r="CA83" s="371">
        <v>7</v>
      </c>
      <c r="CB83" s="371">
        <v>9</v>
      </c>
      <c r="CC83" s="371">
        <v>0</v>
      </c>
      <c r="CD83" s="371">
        <v>4</v>
      </c>
      <c r="CE83" s="371">
        <v>15</v>
      </c>
      <c r="CF83" s="371">
        <v>20</v>
      </c>
      <c r="CG83" s="371">
        <v>27</v>
      </c>
      <c r="CH83" s="371">
        <v>38</v>
      </c>
      <c r="CI83" s="371">
        <v>27</v>
      </c>
      <c r="CJ83" s="371">
        <v>27</v>
      </c>
      <c r="CK83" s="371">
        <v>21</v>
      </c>
      <c r="CL83" s="371">
        <v>14</v>
      </c>
      <c r="CM83" s="371">
        <v>22</v>
      </c>
      <c r="CN83" s="371">
        <v>14</v>
      </c>
      <c r="CO83" s="371">
        <v>20</v>
      </c>
      <c r="CP83" s="371">
        <v>14</v>
      </c>
      <c r="CQ83" s="371">
        <v>5</v>
      </c>
      <c r="CR83" s="371">
        <v>5</v>
      </c>
      <c r="CS83" s="371">
        <v>1</v>
      </c>
    </row>
    <row r="84" spans="2:97" hidden="1" x14ac:dyDescent="0.2">
      <c r="B84" s="369" t="s">
        <v>274</v>
      </c>
      <c r="C84" s="370">
        <v>2967</v>
      </c>
      <c r="D84" s="371">
        <v>49</v>
      </c>
      <c r="E84" s="371">
        <v>76</v>
      </c>
      <c r="F84" s="371">
        <v>58</v>
      </c>
      <c r="G84" s="371">
        <v>63</v>
      </c>
      <c r="H84" s="371">
        <v>51</v>
      </c>
      <c r="I84" s="371">
        <v>77</v>
      </c>
      <c r="J84" s="371">
        <v>63</v>
      </c>
      <c r="K84" s="371">
        <v>55</v>
      </c>
      <c r="L84" s="371">
        <v>41</v>
      </c>
      <c r="M84" s="371">
        <v>35</v>
      </c>
      <c r="N84" s="371">
        <v>34</v>
      </c>
      <c r="O84" s="371">
        <v>41</v>
      </c>
      <c r="P84" s="371">
        <v>48</v>
      </c>
      <c r="Q84" s="371">
        <v>33</v>
      </c>
      <c r="R84" s="371">
        <v>27</v>
      </c>
      <c r="S84" s="371">
        <v>173</v>
      </c>
      <c r="T84" s="371">
        <v>177</v>
      </c>
      <c r="U84" s="371">
        <v>215</v>
      </c>
      <c r="V84" s="371">
        <v>246</v>
      </c>
      <c r="W84" s="371">
        <v>205</v>
      </c>
      <c r="X84" s="371">
        <v>184</v>
      </c>
      <c r="Y84" s="371">
        <v>162</v>
      </c>
      <c r="Z84" s="371">
        <v>168</v>
      </c>
      <c r="AA84" s="371">
        <v>180</v>
      </c>
      <c r="AB84" s="371">
        <v>158</v>
      </c>
      <c r="AC84" s="371">
        <v>111</v>
      </c>
      <c r="AD84" s="371">
        <v>103</v>
      </c>
      <c r="AE84" s="371">
        <v>68</v>
      </c>
      <c r="AF84" s="371">
        <v>65</v>
      </c>
      <c r="AG84" s="371">
        <v>1</v>
      </c>
      <c r="AI84" s="370">
        <v>1342</v>
      </c>
      <c r="AJ84" s="371">
        <v>32</v>
      </c>
      <c r="AK84" s="371">
        <v>36</v>
      </c>
      <c r="AL84" s="371">
        <v>27</v>
      </c>
      <c r="AM84" s="371">
        <v>35</v>
      </c>
      <c r="AN84" s="371">
        <v>23</v>
      </c>
      <c r="AO84" s="371">
        <v>33</v>
      </c>
      <c r="AP84" s="371">
        <v>34</v>
      </c>
      <c r="AQ84" s="371">
        <v>28</v>
      </c>
      <c r="AR84" s="371">
        <v>21</v>
      </c>
      <c r="AS84" s="371">
        <v>21</v>
      </c>
      <c r="AT84" s="371">
        <v>15</v>
      </c>
      <c r="AU84" s="371">
        <v>24</v>
      </c>
      <c r="AV84" s="371">
        <v>27</v>
      </c>
      <c r="AW84" s="371">
        <v>15</v>
      </c>
      <c r="AX84" s="371">
        <v>14</v>
      </c>
      <c r="AY84" s="371">
        <v>87</v>
      </c>
      <c r="AZ84" s="371">
        <v>60</v>
      </c>
      <c r="BA84" s="371">
        <v>79</v>
      </c>
      <c r="BB84" s="371">
        <v>89</v>
      </c>
      <c r="BC84" s="371">
        <v>88</v>
      </c>
      <c r="BD84" s="371">
        <v>75</v>
      </c>
      <c r="BE84" s="371">
        <v>67</v>
      </c>
      <c r="BF84" s="371">
        <v>78</v>
      </c>
      <c r="BG84" s="371">
        <v>86</v>
      </c>
      <c r="BH84" s="371">
        <v>75</v>
      </c>
      <c r="BI84" s="371">
        <v>54</v>
      </c>
      <c r="BJ84" s="371">
        <v>54</v>
      </c>
      <c r="BK84" s="371">
        <v>35</v>
      </c>
      <c r="BL84" s="371">
        <v>30</v>
      </c>
      <c r="BM84" s="371">
        <v>0</v>
      </c>
      <c r="BO84" s="370">
        <v>1625</v>
      </c>
      <c r="BP84" s="371">
        <v>17</v>
      </c>
      <c r="BQ84" s="371">
        <v>40</v>
      </c>
      <c r="BR84" s="371">
        <v>31</v>
      </c>
      <c r="BS84" s="371">
        <v>28</v>
      </c>
      <c r="BT84" s="371">
        <v>28</v>
      </c>
      <c r="BU84" s="371">
        <v>44</v>
      </c>
      <c r="BV84" s="371">
        <v>29</v>
      </c>
      <c r="BW84" s="371">
        <v>27</v>
      </c>
      <c r="BX84" s="371">
        <v>20</v>
      </c>
      <c r="BY84" s="371">
        <v>14</v>
      </c>
      <c r="BZ84" s="371">
        <v>19</v>
      </c>
      <c r="CA84" s="371">
        <v>17</v>
      </c>
      <c r="CB84" s="371">
        <v>21</v>
      </c>
      <c r="CC84" s="371">
        <v>18</v>
      </c>
      <c r="CD84" s="371">
        <v>13</v>
      </c>
      <c r="CE84" s="371">
        <v>86</v>
      </c>
      <c r="CF84" s="371">
        <v>117</v>
      </c>
      <c r="CG84" s="371">
        <v>136</v>
      </c>
      <c r="CH84" s="371">
        <v>157</v>
      </c>
      <c r="CI84" s="371">
        <v>117</v>
      </c>
      <c r="CJ84" s="371">
        <v>109</v>
      </c>
      <c r="CK84" s="371">
        <v>95</v>
      </c>
      <c r="CL84" s="371">
        <v>90</v>
      </c>
      <c r="CM84" s="371">
        <v>94</v>
      </c>
      <c r="CN84" s="371">
        <v>83</v>
      </c>
      <c r="CO84" s="371">
        <v>57</v>
      </c>
      <c r="CP84" s="371">
        <v>49</v>
      </c>
      <c r="CQ84" s="371">
        <v>33</v>
      </c>
      <c r="CR84" s="371">
        <v>35</v>
      </c>
      <c r="CS84" s="371">
        <v>1</v>
      </c>
    </row>
    <row r="85" spans="2:97" ht="19.5" hidden="1" customHeight="1" x14ac:dyDescent="0.2">
      <c r="B85" s="372" t="s">
        <v>275</v>
      </c>
      <c r="C85" s="373">
        <v>20845</v>
      </c>
      <c r="D85" s="373">
        <v>143</v>
      </c>
      <c r="E85" s="373">
        <v>190</v>
      </c>
      <c r="F85" s="373">
        <v>215</v>
      </c>
      <c r="G85" s="373">
        <v>217</v>
      </c>
      <c r="H85" s="373">
        <v>219</v>
      </c>
      <c r="I85" s="373">
        <v>285</v>
      </c>
      <c r="J85" s="373">
        <v>233</v>
      </c>
      <c r="K85" s="373">
        <v>259</v>
      </c>
      <c r="L85" s="373">
        <v>257</v>
      </c>
      <c r="M85" s="373">
        <v>268</v>
      </c>
      <c r="N85" s="373">
        <v>283</v>
      </c>
      <c r="O85" s="373">
        <v>281</v>
      </c>
      <c r="P85" s="373">
        <v>285</v>
      </c>
      <c r="Q85" s="373">
        <v>281</v>
      </c>
      <c r="R85" s="373">
        <v>273</v>
      </c>
      <c r="S85" s="373">
        <v>1362</v>
      </c>
      <c r="T85" s="373">
        <v>1432</v>
      </c>
      <c r="U85" s="373">
        <v>1625</v>
      </c>
      <c r="V85" s="373">
        <v>1734</v>
      </c>
      <c r="W85" s="373">
        <v>1432</v>
      </c>
      <c r="X85" s="373">
        <v>1378</v>
      </c>
      <c r="Y85" s="373">
        <v>1326</v>
      </c>
      <c r="Z85" s="373">
        <v>1341</v>
      </c>
      <c r="AA85" s="373">
        <v>1391</v>
      </c>
      <c r="AB85" s="373">
        <v>1282</v>
      </c>
      <c r="AC85" s="373">
        <v>967</v>
      </c>
      <c r="AD85" s="373">
        <v>725</v>
      </c>
      <c r="AE85" s="373">
        <v>505</v>
      </c>
      <c r="AF85" s="373">
        <v>649</v>
      </c>
      <c r="AG85" s="373">
        <v>7</v>
      </c>
      <c r="AI85" s="373">
        <v>10357</v>
      </c>
      <c r="AJ85" s="373">
        <v>84</v>
      </c>
      <c r="AK85" s="373">
        <v>86</v>
      </c>
      <c r="AL85" s="373">
        <v>108</v>
      </c>
      <c r="AM85" s="373">
        <v>115</v>
      </c>
      <c r="AN85" s="373">
        <v>97</v>
      </c>
      <c r="AO85" s="373">
        <v>132</v>
      </c>
      <c r="AP85" s="373">
        <v>115</v>
      </c>
      <c r="AQ85" s="373">
        <v>130</v>
      </c>
      <c r="AR85" s="373">
        <v>136</v>
      </c>
      <c r="AS85" s="373">
        <v>128</v>
      </c>
      <c r="AT85" s="373">
        <v>160</v>
      </c>
      <c r="AU85" s="373">
        <v>141</v>
      </c>
      <c r="AV85" s="373">
        <v>137</v>
      </c>
      <c r="AW85" s="373">
        <v>132</v>
      </c>
      <c r="AX85" s="373">
        <v>133</v>
      </c>
      <c r="AY85" s="373">
        <v>695</v>
      </c>
      <c r="AZ85" s="373">
        <v>757</v>
      </c>
      <c r="BA85" s="373">
        <v>855</v>
      </c>
      <c r="BB85" s="373">
        <v>812</v>
      </c>
      <c r="BC85" s="373">
        <v>701</v>
      </c>
      <c r="BD85" s="373">
        <v>672</v>
      </c>
      <c r="BE85" s="373">
        <v>659</v>
      </c>
      <c r="BF85" s="373">
        <v>668</v>
      </c>
      <c r="BG85" s="373">
        <v>682</v>
      </c>
      <c r="BH85" s="373">
        <v>653</v>
      </c>
      <c r="BI85" s="373">
        <v>480</v>
      </c>
      <c r="BJ85" s="373">
        <v>374</v>
      </c>
      <c r="BK85" s="373">
        <v>246</v>
      </c>
      <c r="BL85" s="373">
        <v>266</v>
      </c>
      <c r="BM85" s="373">
        <v>3</v>
      </c>
      <c r="BO85" s="373">
        <v>10488</v>
      </c>
      <c r="BP85" s="373">
        <v>59</v>
      </c>
      <c r="BQ85" s="373">
        <v>104</v>
      </c>
      <c r="BR85" s="373">
        <v>107</v>
      </c>
      <c r="BS85" s="373">
        <v>102</v>
      </c>
      <c r="BT85" s="373">
        <v>122</v>
      </c>
      <c r="BU85" s="373">
        <v>153</v>
      </c>
      <c r="BV85" s="373">
        <v>118</v>
      </c>
      <c r="BW85" s="373">
        <v>129</v>
      </c>
      <c r="BX85" s="373">
        <v>121</v>
      </c>
      <c r="BY85" s="373">
        <v>140</v>
      </c>
      <c r="BZ85" s="373">
        <v>123</v>
      </c>
      <c r="CA85" s="373">
        <v>140</v>
      </c>
      <c r="CB85" s="373">
        <v>148</v>
      </c>
      <c r="CC85" s="373">
        <v>149</v>
      </c>
      <c r="CD85" s="373">
        <v>140</v>
      </c>
      <c r="CE85" s="373">
        <v>667</v>
      </c>
      <c r="CF85" s="373">
        <v>675</v>
      </c>
      <c r="CG85" s="373">
        <v>770</v>
      </c>
      <c r="CH85" s="373">
        <v>922</v>
      </c>
      <c r="CI85" s="373">
        <v>731</v>
      </c>
      <c r="CJ85" s="373">
        <v>706</v>
      </c>
      <c r="CK85" s="373">
        <v>667</v>
      </c>
      <c r="CL85" s="373">
        <v>673</v>
      </c>
      <c r="CM85" s="373">
        <v>709</v>
      </c>
      <c r="CN85" s="373">
        <v>629</v>
      </c>
      <c r="CO85" s="373">
        <v>487</v>
      </c>
      <c r="CP85" s="373">
        <v>351</v>
      </c>
      <c r="CQ85" s="373">
        <v>259</v>
      </c>
      <c r="CR85" s="373">
        <v>383</v>
      </c>
      <c r="CS85" s="373">
        <v>4</v>
      </c>
    </row>
    <row r="86" spans="2:97" hidden="1" x14ac:dyDescent="0.2">
      <c r="B86" s="369"/>
      <c r="C86" s="370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I86" s="370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O86" s="370"/>
      <c r="BP86" s="371"/>
      <c r="BQ86" s="371"/>
      <c r="BR86" s="371"/>
      <c r="BS86" s="371"/>
      <c r="BT86" s="371"/>
      <c r="BU86" s="371"/>
      <c r="BV86" s="371"/>
      <c r="BW86" s="371"/>
      <c r="BX86" s="371"/>
      <c r="BY86" s="371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</row>
    <row r="87" spans="2:97" hidden="1" x14ac:dyDescent="0.2">
      <c r="B87" s="369" t="s">
        <v>276</v>
      </c>
      <c r="C87" s="370">
        <v>8995</v>
      </c>
      <c r="D87" s="371">
        <v>70</v>
      </c>
      <c r="E87" s="371">
        <v>57</v>
      </c>
      <c r="F87" s="371">
        <v>45</v>
      </c>
      <c r="G87" s="371">
        <v>42</v>
      </c>
      <c r="H87" s="371">
        <v>65</v>
      </c>
      <c r="I87" s="371">
        <v>73</v>
      </c>
      <c r="J87" s="371">
        <v>65</v>
      </c>
      <c r="K87" s="371">
        <v>94</v>
      </c>
      <c r="L87" s="371">
        <v>115</v>
      </c>
      <c r="M87" s="371">
        <v>87</v>
      </c>
      <c r="N87" s="371">
        <v>117</v>
      </c>
      <c r="O87" s="371">
        <v>119</v>
      </c>
      <c r="P87" s="371">
        <v>112</v>
      </c>
      <c r="Q87" s="371">
        <v>101</v>
      </c>
      <c r="R87" s="371">
        <v>112</v>
      </c>
      <c r="S87" s="371">
        <v>619</v>
      </c>
      <c r="T87" s="371">
        <v>649</v>
      </c>
      <c r="U87" s="371">
        <v>742</v>
      </c>
      <c r="V87" s="371">
        <v>636</v>
      </c>
      <c r="W87" s="371">
        <v>653</v>
      </c>
      <c r="X87" s="371">
        <v>555</v>
      </c>
      <c r="Y87" s="371">
        <v>530</v>
      </c>
      <c r="Z87" s="371">
        <v>546</v>
      </c>
      <c r="AA87" s="371">
        <v>625</v>
      </c>
      <c r="AB87" s="371">
        <v>619</v>
      </c>
      <c r="AC87" s="371">
        <v>528</v>
      </c>
      <c r="AD87" s="371">
        <v>386</v>
      </c>
      <c r="AE87" s="371">
        <v>257</v>
      </c>
      <c r="AF87" s="371">
        <v>374</v>
      </c>
      <c r="AG87" s="371">
        <v>2</v>
      </c>
      <c r="AI87" s="370">
        <v>4442</v>
      </c>
      <c r="AJ87" s="371">
        <v>32</v>
      </c>
      <c r="AK87" s="371">
        <v>25</v>
      </c>
      <c r="AL87" s="371">
        <v>21</v>
      </c>
      <c r="AM87" s="371">
        <v>20</v>
      </c>
      <c r="AN87" s="371">
        <v>40</v>
      </c>
      <c r="AO87" s="371">
        <v>33</v>
      </c>
      <c r="AP87" s="371">
        <v>30</v>
      </c>
      <c r="AQ87" s="371">
        <v>48</v>
      </c>
      <c r="AR87" s="371">
        <v>60</v>
      </c>
      <c r="AS87" s="371">
        <v>41</v>
      </c>
      <c r="AT87" s="371">
        <v>58</v>
      </c>
      <c r="AU87" s="371">
        <v>57</v>
      </c>
      <c r="AV87" s="371">
        <v>62</v>
      </c>
      <c r="AW87" s="371">
        <v>53</v>
      </c>
      <c r="AX87" s="371">
        <v>68</v>
      </c>
      <c r="AY87" s="371">
        <v>344</v>
      </c>
      <c r="AZ87" s="371">
        <v>332</v>
      </c>
      <c r="BA87" s="371">
        <v>352</v>
      </c>
      <c r="BB87" s="371">
        <v>331</v>
      </c>
      <c r="BC87" s="371">
        <v>341</v>
      </c>
      <c r="BD87" s="371">
        <v>285</v>
      </c>
      <c r="BE87" s="371">
        <v>231</v>
      </c>
      <c r="BF87" s="371">
        <v>265</v>
      </c>
      <c r="BG87" s="371">
        <v>322</v>
      </c>
      <c r="BH87" s="371">
        <v>299</v>
      </c>
      <c r="BI87" s="371">
        <v>252</v>
      </c>
      <c r="BJ87" s="371">
        <v>189</v>
      </c>
      <c r="BK87" s="371">
        <v>106</v>
      </c>
      <c r="BL87" s="371">
        <v>143</v>
      </c>
      <c r="BM87" s="371">
        <v>2</v>
      </c>
      <c r="BO87" s="370">
        <v>4553</v>
      </c>
      <c r="BP87" s="371">
        <v>38</v>
      </c>
      <c r="BQ87" s="371">
        <v>32</v>
      </c>
      <c r="BR87" s="371">
        <v>24</v>
      </c>
      <c r="BS87" s="371">
        <v>22</v>
      </c>
      <c r="BT87" s="371">
        <v>25</v>
      </c>
      <c r="BU87" s="371">
        <v>40</v>
      </c>
      <c r="BV87" s="371">
        <v>35</v>
      </c>
      <c r="BW87" s="371">
        <v>46</v>
      </c>
      <c r="BX87" s="371">
        <v>55</v>
      </c>
      <c r="BY87" s="371">
        <v>46</v>
      </c>
      <c r="BZ87" s="371">
        <v>59</v>
      </c>
      <c r="CA87" s="371">
        <v>62</v>
      </c>
      <c r="CB87" s="371">
        <v>50</v>
      </c>
      <c r="CC87" s="371">
        <v>48</v>
      </c>
      <c r="CD87" s="371">
        <v>44</v>
      </c>
      <c r="CE87" s="371">
        <v>275</v>
      </c>
      <c r="CF87" s="371">
        <v>317</v>
      </c>
      <c r="CG87" s="371">
        <v>390</v>
      </c>
      <c r="CH87" s="371">
        <v>305</v>
      </c>
      <c r="CI87" s="371">
        <v>312</v>
      </c>
      <c r="CJ87" s="371">
        <v>270</v>
      </c>
      <c r="CK87" s="371">
        <v>299</v>
      </c>
      <c r="CL87" s="371">
        <v>281</v>
      </c>
      <c r="CM87" s="371">
        <v>303</v>
      </c>
      <c r="CN87" s="371">
        <v>320</v>
      </c>
      <c r="CO87" s="371">
        <v>276</v>
      </c>
      <c r="CP87" s="371">
        <v>197</v>
      </c>
      <c r="CQ87" s="371">
        <v>151</v>
      </c>
      <c r="CR87" s="371">
        <v>231</v>
      </c>
      <c r="CS87" s="371">
        <v>0</v>
      </c>
    </row>
    <row r="88" spans="2:97" hidden="1" x14ac:dyDescent="0.2">
      <c r="B88" s="369" t="s">
        <v>277</v>
      </c>
      <c r="C88" s="370">
        <v>10392</v>
      </c>
      <c r="D88" s="371">
        <v>91</v>
      </c>
      <c r="E88" s="371">
        <v>84</v>
      </c>
      <c r="F88" s="371">
        <v>91</v>
      </c>
      <c r="G88" s="371">
        <v>104</v>
      </c>
      <c r="H88" s="371">
        <v>117</v>
      </c>
      <c r="I88" s="371">
        <v>111</v>
      </c>
      <c r="J88" s="371">
        <v>87</v>
      </c>
      <c r="K88" s="371">
        <v>148</v>
      </c>
      <c r="L88" s="371">
        <v>138</v>
      </c>
      <c r="M88" s="371">
        <v>130</v>
      </c>
      <c r="N88" s="371">
        <v>141</v>
      </c>
      <c r="O88" s="371">
        <v>131</v>
      </c>
      <c r="P88" s="371">
        <v>153</v>
      </c>
      <c r="Q88" s="371">
        <v>136</v>
      </c>
      <c r="R88" s="371">
        <v>129</v>
      </c>
      <c r="S88" s="371">
        <v>683</v>
      </c>
      <c r="T88" s="371">
        <v>761</v>
      </c>
      <c r="U88" s="371">
        <v>887</v>
      </c>
      <c r="V88" s="371">
        <v>863</v>
      </c>
      <c r="W88" s="371">
        <v>676</v>
      </c>
      <c r="X88" s="371">
        <v>619</v>
      </c>
      <c r="Y88" s="371">
        <v>705</v>
      </c>
      <c r="Z88" s="371">
        <v>660</v>
      </c>
      <c r="AA88" s="371">
        <v>687</v>
      </c>
      <c r="AB88" s="371">
        <v>595</v>
      </c>
      <c r="AC88" s="371">
        <v>452</v>
      </c>
      <c r="AD88" s="371">
        <v>381</v>
      </c>
      <c r="AE88" s="371">
        <v>288</v>
      </c>
      <c r="AF88" s="371">
        <v>342</v>
      </c>
      <c r="AG88" s="371">
        <v>2</v>
      </c>
      <c r="AI88" s="370">
        <v>5168</v>
      </c>
      <c r="AJ88" s="371">
        <v>47</v>
      </c>
      <c r="AK88" s="371">
        <v>46</v>
      </c>
      <c r="AL88" s="371">
        <v>42</v>
      </c>
      <c r="AM88" s="371">
        <v>53</v>
      </c>
      <c r="AN88" s="371">
        <v>59</v>
      </c>
      <c r="AO88" s="371">
        <v>60</v>
      </c>
      <c r="AP88" s="371">
        <v>48</v>
      </c>
      <c r="AQ88" s="371">
        <v>77</v>
      </c>
      <c r="AR88" s="371">
        <v>66</v>
      </c>
      <c r="AS88" s="371">
        <v>60</v>
      </c>
      <c r="AT88" s="371">
        <v>73</v>
      </c>
      <c r="AU88" s="371">
        <v>59</v>
      </c>
      <c r="AV88" s="371">
        <v>72</v>
      </c>
      <c r="AW88" s="371">
        <v>63</v>
      </c>
      <c r="AX88" s="371">
        <v>69</v>
      </c>
      <c r="AY88" s="371">
        <v>323</v>
      </c>
      <c r="AZ88" s="371">
        <v>394</v>
      </c>
      <c r="BA88" s="371">
        <v>459</v>
      </c>
      <c r="BB88" s="371">
        <v>441</v>
      </c>
      <c r="BC88" s="371">
        <v>353</v>
      </c>
      <c r="BD88" s="371">
        <v>303</v>
      </c>
      <c r="BE88" s="371">
        <v>341</v>
      </c>
      <c r="BF88" s="371">
        <v>352</v>
      </c>
      <c r="BG88" s="371">
        <v>347</v>
      </c>
      <c r="BH88" s="371">
        <v>299</v>
      </c>
      <c r="BI88" s="371">
        <v>213</v>
      </c>
      <c r="BJ88" s="371">
        <v>197</v>
      </c>
      <c r="BK88" s="371">
        <v>123</v>
      </c>
      <c r="BL88" s="371">
        <v>128</v>
      </c>
      <c r="BM88" s="371">
        <v>1</v>
      </c>
      <c r="BO88" s="370">
        <v>5224</v>
      </c>
      <c r="BP88" s="371">
        <v>44</v>
      </c>
      <c r="BQ88" s="371">
        <v>38</v>
      </c>
      <c r="BR88" s="371">
        <v>49</v>
      </c>
      <c r="BS88" s="371">
        <v>51</v>
      </c>
      <c r="BT88" s="371">
        <v>58</v>
      </c>
      <c r="BU88" s="371">
        <v>51</v>
      </c>
      <c r="BV88" s="371">
        <v>39</v>
      </c>
      <c r="BW88" s="371">
        <v>71</v>
      </c>
      <c r="BX88" s="371">
        <v>72</v>
      </c>
      <c r="BY88" s="371">
        <v>70</v>
      </c>
      <c r="BZ88" s="371">
        <v>68</v>
      </c>
      <c r="CA88" s="371">
        <v>72</v>
      </c>
      <c r="CB88" s="371">
        <v>81</v>
      </c>
      <c r="CC88" s="371">
        <v>73</v>
      </c>
      <c r="CD88" s="371">
        <v>60</v>
      </c>
      <c r="CE88" s="371">
        <v>360</v>
      </c>
      <c r="CF88" s="371">
        <v>367</v>
      </c>
      <c r="CG88" s="371">
        <v>428</v>
      </c>
      <c r="CH88" s="371">
        <v>422</v>
      </c>
      <c r="CI88" s="371">
        <v>323</v>
      </c>
      <c r="CJ88" s="371">
        <v>316</v>
      </c>
      <c r="CK88" s="371">
        <v>364</v>
      </c>
      <c r="CL88" s="371">
        <v>308</v>
      </c>
      <c r="CM88" s="371">
        <v>340</v>
      </c>
      <c r="CN88" s="371">
        <v>296</v>
      </c>
      <c r="CO88" s="371">
        <v>239</v>
      </c>
      <c r="CP88" s="371">
        <v>184</v>
      </c>
      <c r="CQ88" s="371">
        <v>165</v>
      </c>
      <c r="CR88" s="371">
        <v>214</v>
      </c>
      <c r="CS88" s="371">
        <v>1</v>
      </c>
    </row>
    <row r="89" spans="2:97" hidden="1" x14ac:dyDescent="0.2">
      <c r="B89" s="369" t="s">
        <v>278</v>
      </c>
      <c r="C89" s="370">
        <v>1443</v>
      </c>
      <c r="D89" s="371">
        <v>12</v>
      </c>
      <c r="E89" s="371">
        <v>14</v>
      </c>
      <c r="F89" s="371">
        <v>25</v>
      </c>
      <c r="G89" s="371">
        <v>33</v>
      </c>
      <c r="H89" s="371">
        <v>37</v>
      </c>
      <c r="I89" s="371">
        <v>27</v>
      </c>
      <c r="J89" s="371">
        <v>36</v>
      </c>
      <c r="K89" s="371">
        <v>47</v>
      </c>
      <c r="L89" s="371">
        <v>39</v>
      </c>
      <c r="M89" s="371">
        <v>16</v>
      </c>
      <c r="N89" s="371">
        <v>23</v>
      </c>
      <c r="O89" s="371">
        <v>19</v>
      </c>
      <c r="P89" s="371">
        <v>17</v>
      </c>
      <c r="Q89" s="371">
        <v>26</v>
      </c>
      <c r="R89" s="371">
        <v>24</v>
      </c>
      <c r="S89" s="371">
        <v>96</v>
      </c>
      <c r="T89" s="371">
        <v>96</v>
      </c>
      <c r="U89" s="371">
        <v>112</v>
      </c>
      <c r="V89" s="371">
        <v>107</v>
      </c>
      <c r="W89" s="371">
        <v>90</v>
      </c>
      <c r="X89" s="371">
        <v>79</v>
      </c>
      <c r="Y89" s="371">
        <v>72</v>
      </c>
      <c r="Z89" s="371">
        <v>73</v>
      </c>
      <c r="AA89" s="371">
        <v>79</v>
      </c>
      <c r="AB89" s="371">
        <v>70</v>
      </c>
      <c r="AC89" s="371">
        <v>61</v>
      </c>
      <c r="AD89" s="371">
        <v>51</v>
      </c>
      <c r="AE89" s="371">
        <v>19</v>
      </c>
      <c r="AF89" s="371">
        <v>43</v>
      </c>
      <c r="AG89" s="371">
        <v>0</v>
      </c>
      <c r="AI89" s="370">
        <v>600</v>
      </c>
      <c r="AJ89" s="371">
        <v>2</v>
      </c>
      <c r="AK89" s="371">
        <v>11</v>
      </c>
      <c r="AL89" s="371">
        <v>12</v>
      </c>
      <c r="AM89" s="371">
        <v>14</v>
      </c>
      <c r="AN89" s="371">
        <v>19</v>
      </c>
      <c r="AO89" s="371">
        <v>12</v>
      </c>
      <c r="AP89" s="371">
        <v>15</v>
      </c>
      <c r="AQ89" s="371">
        <v>30</v>
      </c>
      <c r="AR89" s="371">
        <v>20</v>
      </c>
      <c r="AS89" s="371">
        <v>8</v>
      </c>
      <c r="AT89" s="371">
        <v>10</v>
      </c>
      <c r="AU89" s="371">
        <v>10</v>
      </c>
      <c r="AV89" s="371">
        <v>9</v>
      </c>
      <c r="AW89" s="371">
        <v>9</v>
      </c>
      <c r="AX89" s="371">
        <v>7</v>
      </c>
      <c r="AY89" s="371">
        <v>43</v>
      </c>
      <c r="AZ89" s="371">
        <v>29</v>
      </c>
      <c r="BA89" s="371">
        <v>35</v>
      </c>
      <c r="BB89" s="371">
        <v>35</v>
      </c>
      <c r="BC89" s="371">
        <v>33</v>
      </c>
      <c r="BD89" s="371">
        <v>28</v>
      </c>
      <c r="BE89" s="371">
        <v>33</v>
      </c>
      <c r="BF89" s="371">
        <v>24</v>
      </c>
      <c r="BG89" s="371">
        <v>38</v>
      </c>
      <c r="BH89" s="371">
        <v>24</v>
      </c>
      <c r="BI89" s="371">
        <v>34</v>
      </c>
      <c r="BJ89" s="371">
        <v>28</v>
      </c>
      <c r="BK89" s="371">
        <v>10</v>
      </c>
      <c r="BL89" s="371">
        <v>18</v>
      </c>
      <c r="BM89" s="371">
        <v>0</v>
      </c>
      <c r="BO89" s="370">
        <v>843</v>
      </c>
      <c r="BP89" s="371">
        <v>10</v>
      </c>
      <c r="BQ89" s="371">
        <v>3</v>
      </c>
      <c r="BR89" s="371">
        <v>13</v>
      </c>
      <c r="BS89" s="371">
        <v>19</v>
      </c>
      <c r="BT89" s="371">
        <v>18</v>
      </c>
      <c r="BU89" s="371">
        <v>15</v>
      </c>
      <c r="BV89" s="371">
        <v>21</v>
      </c>
      <c r="BW89" s="371">
        <v>17</v>
      </c>
      <c r="BX89" s="371">
        <v>19</v>
      </c>
      <c r="BY89" s="371">
        <v>8</v>
      </c>
      <c r="BZ89" s="371">
        <v>13</v>
      </c>
      <c r="CA89" s="371">
        <v>9</v>
      </c>
      <c r="CB89" s="371">
        <v>8</v>
      </c>
      <c r="CC89" s="371">
        <v>17</v>
      </c>
      <c r="CD89" s="371">
        <v>17</v>
      </c>
      <c r="CE89" s="371">
        <v>53</v>
      </c>
      <c r="CF89" s="371">
        <v>67</v>
      </c>
      <c r="CG89" s="371">
        <v>77</v>
      </c>
      <c r="CH89" s="371">
        <v>72</v>
      </c>
      <c r="CI89" s="371">
        <v>57</v>
      </c>
      <c r="CJ89" s="371">
        <v>51</v>
      </c>
      <c r="CK89" s="371">
        <v>39</v>
      </c>
      <c r="CL89" s="371">
        <v>49</v>
      </c>
      <c r="CM89" s="371">
        <v>41</v>
      </c>
      <c r="CN89" s="371">
        <v>46</v>
      </c>
      <c r="CO89" s="371">
        <v>27</v>
      </c>
      <c r="CP89" s="371">
        <v>23</v>
      </c>
      <c r="CQ89" s="371">
        <v>9</v>
      </c>
      <c r="CR89" s="371">
        <v>25</v>
      </c>
      <c r="CS89" s="371">
        <v>0</v>
      </c>
    </row>
    <row r="90" spans="2:97" hidden="1" x14ac:dyDescent="0.2">
      <c r="B90" s="369" t="s">
        <v>279</v>
      </c>
      <c r="C90" s="370">
        <v>1686</v>
      </c>
      <c r="D90" s="371">
        <v>12</v>
      </c>
      <c r="E90" s="371">
        <v>19</v>
      </c>
      <c r="F90" s="371">
        <v>13</v>
      </c>
      <c r="G90" s="371">
        <v>19</v>
      </c>
      <c r="H90" s="371">
        <v>25</v>
      </c>
      <c r="I90" s="371">
        <v>19</v>
      </c>
      <c r="J90" s="371">
        <v>18</v>
      </c>
      <c r="K90" s="371">
        <v>15</v>
      </c>
      <c r="L90" s="371">
        <v>20</v>
      </c>
      <c r="M90" s="371">
        <v>12</v>
      </c>
      <c r="N90" s="371">
        <v>13</v>
      </c>
      <c r="O90" s="371">
        <v>11</v>
      </c>
      <c r="P90" s="371">
        <v>13</v>
      </c>
      <c r="Q90" s="371">
        <v>15</v>
      </c>
      <c r="R90" s="371">
        <v>18</v>
      </c>
      <c r="S90" s="371">
        <v>80</v>
      </c>
      <c r="T90" s="371">
        <v>91</v>
      </c>
      <c r="U90" s="371">
        <v>103</v>
      </c>
      <c r="V90" s="371">
        <v>99</v>
      </c>
      <c r="W90" s="371">
        <v>98</v>
      </c>
      <c r="X90" s="371">
        <v>77</v>
      </c>
      <c r="Y90" s="371">
        <v>108</v>
      </c>
      <c r="Z90" s="371">
        <v>109</v>
      </c>
      <c r="AA90" s="371">
        <v>151</v>
      </c>
      <c r="AB90" s="371">
        <v>133</v>
      </c>
      <c r="AC90" s="371">
        <v>126</v>
      </c>
      <c r="AD90" s="371">
        <v>98</v>
      </c>
      <c r="AE90" s="371">
        <v>75</v>
      </c>
      <c r="AF90" s="371">
        <v>96</v>
      </c>
      <c r="AG90" s="371">
        <v>0</v>
      </c>
      <c r="AI90" s="370">
        <v>826</v>
      </c>
      <c r="AJ90" s="371">
        <v>7</v>
      </c>
      <c r="AK90" s="371">
        <v>8</v>
      </c>
      <c r="AL90" s="371">
        <v>9</v>
      </c>
      <c r="AM90" s="371">
        <v>10</v>
      </c>
      <c r="AN90" s="371">
        <v>16</v>
      </c>
      <c r="AO90" s="371">
        <v>8</v>
      </c>
      <c r="AP90" s="371">
        <v>11</v>
      </c>
      <c r="AQ90" s="371">
        <v>8</v>
      </c>
      <c r="AR90" s="371">
        <v>11</v>
      </c>
      <c r="AS90" s="371">
        <v>5</v>
      </c>
      <c r="AT90" s="371">
        <v>10</v>
      </c>
      <c r="AU90" s="371">
        <v>8</v>
      </c>
      <c r="AV90" s="371">
        <v>7</v>
      </c>
      <c r="AW90" s="371">
        <v>6</v>
      </c>
      <c r="AX90" s="371">
        <v>10</v>
      </c>
      <c r="AY90" s="371">
        <v>40</v>
      </c>
      <c r="AZ90" s="371">
        <v>41</v>
      </c>
      <c r="BA90" s="371">
        <v>54</v>
      </c>
      <c r="BB90" s="371">
        <v>45</v>
      </c>
      <c r="BC90" s="371">
        <v>47</v>
      </c>
      <c r="BD90" s="371">
        <v>37</v>
      </c>
      <c r="BE90" s="371">
        <v>51</v>
      </c>
      <c r="BF90" s="371">
        <v>53</v>
      </c>
      <c r="BG90" s="371">
        <v>63</v>
      </c>
      <c r="BH90" s="371">
        <v>69</v>
      </c>
      <c r="BI90" s="371">
        <v>66</v>
      </c>
      <c r="BJ90" s="371">
        <v>47</v>
      </c>
      <c r="BK90" s="371">
        <v>36</v>
      </c>
      <c r="BL90" s="371">
        <v>43</v>
      </c>
      <c r="BM90" s="371">
        <v>0</v>
      </c>
      <c r="BO90" s="370">
        <v>860</v>
      </c>
      <c r="BP90" s="371">
        <v>5</v>
      </c>
      <c r="BQ90" s="371">
        <v>11</v>
      </c>
      <c r="BR90" s="371">
        <v>4</v>
      </c>
      <c r="BS90" s="371">
        <v>9</v>
      </c>
      <c r="BT90" s="371">
        <v>9</v>
      </c>
      <c r="BU90" s="371">
        <v>11</v>
      </c>
      <c r="BV90" s="371">
        <v>7</v>
      </c>
      <c r="BW90" s="371">
        <v>7</v>
      </c>
      <c r="BX90" s="371">
        <v>9</v>
      </c>
      <c r="BY90" s="371">
        <v>7</v>
      </c>
      <c r="BZ90" s="371">
        <v>3</v>
      </c>
      <c r="CA90" s="371">
        <v>3</v>
      </c>
      <c r="CB90" s="371">
        <v>6</v>
      </c>
      <c r="CC90" s="371">
        <v>9</v>
      </c>
      <c r="CD90" s="371">
        <v>8</v>
      </c>
      <c r="CE90" s="371">
        <v>40</v>
      </c>
      <c r="CF90" s="371">
        <v>50</v>
      </c>
      <c r="CG90" s="371">
        <v>49</v>
      </c>
      <c r="CH90" s="371">
        <v>54</v>
      </c>
      <c r="CI90" s="371">
        <v>51</v>
      </c>
      <c r="CJ90" s="371">
        <v>40</v>
      </c>
      <c r="CK90" s="371">
        <v>57</v>
      </c>
      <c r="CL90" s="371">
        <v>56</v>
      </c>
      <c r="CM90" s="371">
        <v>88</v>
      </c>
      <c r="CN90" s="371">
        <v>64</v>
      </c>
      <c r="CO90" s="371">
        <v>60</v>
      </c>
      <c r="CP90" s="371">
        <v>51</v>
      </c>
      <c r="CQ90" s="371">
        <v>39</v>
      </c>
      <c r="CR90" s="371">
        <v>53</v>
      </c>
      <c r="CS90" s="371">
        <v>0</v>
      </c>
    </row>
    <row r="91" spans="2:97" ht="21.75" hidden="1" customHeight="1" x14ac:dyDescent="0.2">
      <c r="B91" s="372" t="s">
        <v>280</v>
      </c>
      <c r="C91" s="373">
        <v>22516</v>
      </c>
      <c r="D91" s="373">
        <v>185</v>
      </c>
      <c r="E91" s="373">
        <v>174</v>
      </c>
      <c r="F91" s="373">
        <v>174</v>
      </c>
      <c r="G91" s="373">
        <v>198</v>
      </c>
      <c r="H91" s="373">
        <v>244</v>
      </c>
      <c r="I91" s="373">
        <v>230</v>
      </c>
      <c r="J91" s="373">
        <v>206</v>
      </c>
      <c r="K91" s="373">
        <v>304</v>
      </c>
      <c r="L91" s="373">
        <v>312</v>
      </c>
      <c r="M91" s="373">
        <v>245</v>
      </c>
      <c r="N91" s="373">
        <v>294</v>
      </c>
      <c r="O91" s="373">
        <v>280</v>
      </c>
      <c r="P91" s="373">
        <v>295</v>
      </c>
      <c r="Q91" s="373">
        <v>278</v>
      </c>
      <c r="R91" s="373">
        <v>283</v>
      </c>
      <c r="S91" s="373">
        <v>1478</v>
      </c>
      <c r="T91" s="373">
        <v>1597</v>
      </c>
      <c r="U91" s="373">
        <v>1844</v>
      </c>
      <c r="V91" s="373">
        <v>1705</v>
      </c>
      <c r="W91" s="373">
        <v>1517</v>
      </c>
      <c r="X91" s="373">
        <v>1330</v>
      </c>
      <c r="Y91" s="373">
        <v>1415</v>
      </c>
      <c r="Z91" s="373">
        <v>1388</v>
      </c>
      <c r="AA91" s="373">
        <v>1542</v>
      </c>
      <c r="AB91" s="373">
        <v>1417</v>
      </c>
      <c r="AC91" s="373">
        <v>1167</v>
      </c>
      <c r="AD91" s="373">
        <v>916</v>
      </c>
      <c r="AE91" s="373">
        <v>639</v>
      </c>
      <c r="AF91" s="373">
        <v>855</v>
      </c>
      <c r="AG91" s="373">
        <v>4</v>
      </c>
      <c r="AI91" s="373">
        <v>11036</v>
      </c>
      <c r="AJ91" s="373">
        <v>88</v>
      </c>
      <c r="AK91" s="373">
        <v>90</v>
      </c>
      <c r="AL91" s="373">
        <v>84</v>
      </c>
      <c r="AM91" s="373">
        <v>97</v>
      </c>
      <c r="AN91" s="373">
        <v>134</v>
      </c>
      <c r="AO91" s="373">
        <v>113</v>
      </c>
      <c r="AP91" s="373">
        <v>104</v>
      </c>
      <c r="AQ91" s="373">
        <v>163</v>
      </c>
      <c r="AR91" s="373">
        <v>157</v>
      </c>
      <c r="AS91" s="373">
        <v>114</v>
      </c>
      <c r="AT91" s="373">
        <v>151</v>
      </c>
      <c r="AU91" s="373">
        <v>134</v>
      </c>
      <c r="AV91" s="373">
        <v>150</v>
      </c>
      <c r="AW91" s="373">
        <v>131</v>
      </c>
      <c r="AX91" s="373">
        <v>154</v>
      </c>
      <c r="AY91" s="373">
        <v>750</v>
      </c>
      <c r="AZ91" s="373">
        <v>796</v>
      </c>
      <c r="BA91" s="373">
        <v>900</v>
      </c>
      <c r="BB91" s="373">
        <v>852</v>
      </c>
      <c r="BC91" s="373">
        <v>774</v>
      </c>
      <c r="BD91" s="373">
        <v>653</v>
      </c>
      <c r="BE91" s="373">
        <v>656</v>
      </c>
      <c r="BF91" s="373">
        <v>694</v>
      </c>
      <c r="BG91" s="373">
        <v>770</v>
      </c>
      <c r="BH91" s="373">
        <v>691</v>
      </c>
      <c r="BI91" s="373">
        <v>565</v>
      </c>
      <c r="BJ91" s="373">
        <v>461</v>
      </c>
      <c r="BK91" s="373">
        <v>275</v>
      </c>
      <c r="BL91" s="373">
        <v>332</v>
      </c>
      <c r="BM91" s="373">
        <v>3</v>
      </c>
      <c r="BO91" s="373">
        <v>11480</v>
      </c>
      <c r="BP91" s="373">
        <v>97</v>
      </c>
      <c r="BQ91" s="373">
        <v>84</v>
      </c>
      <c r="BR91" s="373">
        <v>90</v>
      </c>
      <c r="BS91" s="373">
        <v>101</v>
      </c>
      <c r="BT91" s="373">
        <v>110</v>
      </c>
      <c r="BU91" s="373">
        <v>117</v>
      </c>
      <c r="BV91" s="373">
        <v>102</v>
      </c>
      <c r="BW91" s="373">
        <v>141</v>
      </c>
      <c r="BX91" s="373">
        <v>155</v>
      </c>
      <c r="BY91" s="373">
        <v>131</v>
      </c>
      <c r="BZ91" s="373">
        <v>143</v>
      </c>
      <c r="CA91" s="373">
        <v>146</v>
      </c>
      <c r="CB91" s="373">
        <v>145</v>
      </c>
      <c r="CC91" s="373">
        <v>147</v>
      </c>
      <c r="CD91" s="373">
        <v>129</v>
      </c>
      <c r="CE91" s="373">
        <v>728</v>
      </c>
      <c r="CF91" s="373">
        <v>801</v>
      </c>
      <c r="CG91" s="373">
        <v>944</v>
      </c>
      <c r="CH91" s="373">
        <v>853</v>
      </c>
      <c r="CI91" s="373">
        <v>743</v>
      </c>
      <c r="CJ91" s="373">
        <v>677</v>
      </c>
      <c r="CK91" s="373">
        <v>759</v>
      </c>
      <c r="CL91" s="373">
        <v>694</v>
      </c>
      <c r="CM91" s="373">
        <v>772</v>
      </c>
      <c r="CN91" s="373">
        <v>726</v>
      </c>
      <c r="CO91" s="373">
        <v>602</v>
      </c>
      <c r="CP91" s="373">
        <v>455</v>
      </c>
      <c r="CQ91" s="373">
        <v>364</v>
      </c>
      <c r="CR91" s="373">
        <v>523</v>
      </c>
      <c r="CS91" s="373">
        <v>1</v>
      </c>
    </row>
    <row r="92" spans="2:97" hidden="1" x14ac:dyDescent="0.2">
      <c r="B92" s="369"/>
      <c r="C92" s="370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I92" s="370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O92" s="370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</row>
    <row r="93" spans="2:97" hidden="1" x14ac:dyDescent="0.2">
      <c r="B93" s="369" t="s">
        <v>281</v>
      </c>
      <c r="C93" s="370">
        <v>13089</v>
      </c>
      <c r="D93" s="371">
        <v>113</v>
      </c>
      <c r="E93" s="371">
        <v>182</v>
      </c>
      <c r="F93" s="371">
        <v>201</v>
      </c>
      <c r="G93" s="371">
        <v>200</v>
      </c>
      <c r="H93" s="371">
        <v>229</v>
      </c>
      <c r="I93" s="371">
        <v>252</v>
      </c>
      <c r="J93" s="371">
        <v>234</v>
      </c>
      <c r="K93" s="371">
        <v>208</v>
      </c>
      <c r="L93" s="371">
        <v>160</v>
      </c>
      <c r="M93" s="371">
        <v>142</v>
      </c>
      <c r="N93" s="371">
        <v>140</v>
      </c>
      <c r="O93" s="371">
        <v>152</v>
      </c>
      <c r="P93" s="371">
        <v>143</v>
      </c>
      <c r="Q93" s="371">
        <v>158</v>
      </c>
      <c r="R93" s="371">
        <v>156</v>
      </c>
      <c r="S93" s="371">
        <v>748</v>
      </c>
      <c r="T93" s="371">
        <v>759</v>
      </c>
      <c r="U93" s="371">
        <v>1086</v>
      </c>
      <c r="V93" s="371">
        <v>1125</v>
      </c>
      <c r="W93" s="371">
        <v>1040</v>
      </c>
      <c r="X93" s="371">
        <v>846</v>
      </c>
      <c r="Y93" s="371">
        <v>732</v>
      </c>
      <c r="Z93" s="371">
        <v>694</v>
      </c>
      <c r="AA93" s="371">
        <v>841</v>
      </c>
      <c r="AB93" s="371">
        <v>782</v>
      </c>
      <c r="AC93" s="371">
        <v>642</v>
      </c>
      <c r="AD93" s="371">
        <v>453</v>
      </c>
      <c r="AE93" s="371">
        <v>300</v>
      </c>
      <c r="AF93" s="371">
        <v>370</v>
      </c>
      <c r="AG93" s="371">
        <v>1</v>
      </c>
      <c r="AI93" s="370">
        <v>6189</v>
      </c>
      <c r="AJ93" s="371">
        <v>57</v>
      </c>
      <c r="AK93" s="371">
        <v>91</v>
      </c>
      <c r="AL93" s="371">
        <v>88</v>
      </c>
      <c r="AM93" s="371">
        <v>107</v>
      </c>
      <c r="AN93" s="371">
        <v>109</v>
      </c>
      <c r="AO93" s="371">
        <v>132</v>
      </c>
      <c r="AP93" s="371">
        <v>115</v>
      </c>
      <c r="AQ93" s="371">
        <v>115</v>
      </c>
      <c r="AR93" s="371">
        <v>93</v>
      </c>
      <c r="AS93" s="371">
        <v>77</v>
      </c>
      <c r="AT93" s="371">
        <v>64</v>
      </c>
      <c r="AU93" s="371">
        <v>85</v>
      </c>
      <c r="AV93" s="371">
        <v>77</v>
      </c>
      <c r="AW93" s="371">
        <v>79</v>
      </c>
      <c r="AX93" s="371">
        <v>70</v>
      </c>
      <c r="AY93" s="371">
        <v>394</v>
      </c>
      <c r="AZ93" s="371">
        <v>319</v>
      </c>
      <c r="BA93" s="371">
        <v>499</v>
      </c>
      <c r="BB93" s="371">
        <v>504</v>
      </c>
      <c r="BC93" s="371">
        <v>454</v>
      </c>
      <c r="BD93" s="371">
        <v>415</v>
      </c>
      <c r="BE93" s="371">
        <v>325</v>
      </c>
      <c r="BF93" s="371">
        <v>317</v>
      </c>
      <c r="BG93" s="371">
        <v>405</v>
      </c>
      <c r="BH93" s="371">
        <v>369</v>
      </c>
      <c r="BI93" s="371">
        <v>302</v>
      </c>
      <c r="BJ93" s="371">
        <v>229</v>
      </c>
      <c r="BK93" s="371">
        <v>148</v>
      </c>
      <c r="BL93" s="371">
        <v>150</v>
      </c>
      <c r="BM93" s="371">
        <v>0</v>
      </c>
      <c r="BO93" s="370">
        <v>6900</v>
      </c>
      <c r="BP93" s="371">
        <v>56</v>
      </c>
      <c r="BQ93" s="371">
        <v>91</v>
      </c>
      <c r="BR93" s="371">
        <v>113</v>
      </c>
      <c r="BS93" s="371">
        <v>93</v>
      </c>
      <c r="BT93" s="371">
        <v>120</v>
      </c>
      <c r="BU93" s="371">
        <v>120</v>
      </c>
      <c r="BV93" s="371">
        <v>119</v>
      </c>
      <c r="BW93" s="371">
        <v>93</v>
      </c>
      <c r="BX93" s="371">
        <v>67</v>
      </c>
      <c r="BY93" s="371">
        <v>65</v>
      </c>
      <c r="BZ93" s="371">
        <v>76</v>
      </c>
      <c r="CA93" s="371">
        <v>67</v>
      </c>
      <c r="CB93" s="371">
        <v>66</v>
      </c>
      <c r="CC93" s="371">
        <v>79</v>
      </c>
      <c r="CD93" s="371">
        <v>86</v>
      </c>
      <c r="CE93" s="371">
        <v>354</v>
      </c>
      <c r="CF93" s="371">
        <v>440</v>
      </c>
      <c r="CG93" s="371">
        <v>587</v>
      </c>
      <c r="CH93" s="371">
        <v>621</v>
      </c>
      <c r="CI93" s="371">
        <v>586</v>
      </c>
      <c r="CJ93" s="371">
        <v>431</v>
      </c>
      <c r="CK93" s="371">
        <v>407</v>
      </c>
      <c r="CL93" s="371">
        <v>377</v>
      </c>
      <c r="CM93" s="371">
        <v>436</v>
      </c>
      <c r="CN93" s="371">
        <v>413</v>
      </c>
      <c r="CO93" s="371">
        <v>340</v>
      </c>
      <c r="CP93" s="371">
        <v>224</v>
      </c>
      <c r="CQ93" s="371">
        <v>152</v>
      </c>
      <c r="CR93" s="371">
        <v>220</v>
      </c>
      <c r="CS93" s="371">
        <v>1</v>
      </c>
    </row>
    <row r="94" spans="2:97" hidden="1" x14ac:dyDescent="0.2">
      <c r="B94" s="369" t="s">
        <v>282</v>
      </c>
      <c r="C94" s="370">
        <v>3823.6803800000002</v>
      </c>
      <c r="D94" s="371">
        <v>11.332879999999999</v>
      </c>
      <c r="E94" s="371">
        <v>13.83278</v>
      </c>
      <c r="F94" s="371">
        <v>19.999200000000002</v>
      </c>
      <c r="G94" s="371">
        <v>21.665800000000001</v>
      </c>
      <c r="H94" s="371">
        <v>20.332520000000002</v>
      </c>
      <c r="I94" s="371">
        <v>23.832380000000001</v>
      </c>
      <c r="J94" s="371">
        <v>22.332439999999998</v>
      </c>
      <c r="K94" s="371">
        <v>38.998440000000002</v>
      </c>
      <c r="L94" s="371">
        <v>57.164380000000001</v>
      </c>
      <c r="M94" s="371">
        <v>55.99776</v>
      </c>
      <c r="N94" s="371">
        <v>61.830860000000001</v>
      </c>
      <c r="O94" s="371">
        <v>50.664639999999999</v>
      </c>
      <c r="P94" s="371">
        <v>51.164619999999999</v>
      </c>
      <c r="Q94" s="371">
        <v>54.664479999999998</v>
      </c>
      <c r="R94" s="371">
        <v>52.831220000000002</v>
      </c>
      <c r="S94" s="371">
        <v>255.15645999999998</v>
      </c>
      <c r="T94" s="371">
        <v>255.32312000000002</v>
      </c>
      <c r="U94" s="371">
        <v>269.15589999999997</v>
      </c>
      <c r="V94" s="371">
        <v>278.15553999999997</v>
      </c>
      <c r="W94" s="371">
        <v>259.9896</v>
      </c>
      <c r="X94" s="371">
        <v>230.49078</v>
      </c>
      <c r="Y94" s="371">
        <v>238.82378</v>
      </c>
      <c r="Z94" s="371">
        <v>248.49006</v>
      </c>
      <c r="AA94" s="371">
        <v>277.98887999999999</v>
      </c>
      <c r="AB94" s="371">
        <v>265.65604000000002</v>
      </c>
      <c r="AC94" s="371">
        <v>221.99112000000002</v>
      </c>
      <c r="AD94" s="371">
        <v>167.82661999999999</v>
      </c>
      <c r="AE94" s="371">
        <v>126.49494</v>
      </c>
      <c r="AF94" s="371">
        <v>169.15989999999999</v>
      </c>
      <c r="AG94" s="371">
        <v>2.33324</v>
      </c>
      <c r="AI94" s="370">
        <v>1846.5927999999999</v>
      </c>
      <c r="AJ94" s="371">
        <v>5.6664399999999997</v>
      </c>
      <c r="AK94" s="371">
        <v>7.8330200000000003</v>
      </c>
      <c r="AL94" s="371">
        <v>11.49954</v>
      </c>
      <c r="AM94" s="371">
        <v>12.99948</v>
      </c>
      <c r="AN94" s="371">
        <v>9.8329400000000007</v>
      </c>
      <c r="AO94" s="371">
        <v>11.83286</v>
      </c>
      <c r="AP94" s="371">
        <v>10.33292</v>
      </c>
      <c r="AQ94" s="371">
        <v>17.832619999999999</v>
      </c>
      <c r="AR94" s="371">
        <v>27.665559999999999</v>
      </c>
      <c r="AS94" s="371">
        <v>27.99888</v>
      </c>
      <c r="AT94" s="371">
        <v>29.498820000000002</v>
      </c>
      <c r="AU94" s="371">
        <v>27.99888</v>
      </c>
      <c r="AV94" s="371">
        <v>24.998999999999999</v>
      </c>
      <c r="AW94" s="371">
        <v>29.165500000000002</v>
      </c>
      <c r="AX94" s="371">
        <v>27.99888</v>
      </c>
      <c r="AY94" s="371">
        <v>133.82798</v>
      </c>
      <c r="AZ94" s="371">
        <v>133.328</v>
      </c>
      <c r="BA94" s="371">
        <v>132.16138000000001</v>
      </c>
      <c r="BB94" s="371">
        <v>138.66112000000001</v>
      </c>
      <c r="BC94" s="371">
        <v>122.66176</v>
      </c>
      <c r="BD94" s="371">
        <v>109.49562</v>
      </c>
      <c r="BE94" s="371">
        <v>109.49562</v>
      </c>
      <c r="BF94" s="371">
        <v>109.9956</v>
      </c>
      <c r="BG94" s="371">
        <v>131.66140000000001</v>
      </c>
      <c r="BH94" s="371">
        <v>125.8283</v>
      </c>
      <c r="BI94" s="371">
        <v>105.32912</v>
      </c>
      <c r="BJ94" s="371">
        <v>83.163340000000005</v>
      </c>
      <c r="BK94" s="371">
        <v>58.664320000000004</v>
      </c>
      <c r="BL94" s="371">
        <v>67.997280000000003</v>
      </c>
      <c r="BM94" s="371">
        <v>1.16662</v>
      </c>
      <c r="BO94" s="370">
        <v>1977.0875799999999</v>
      </c>
      <c r="BP94" s="371">
        <v>5.6664399999999997</v>
      </c>
      <c r="BQ94" s="371">
        <v>5.9997600000000002</v>
      </c>
      <c r="BR94" s="371">
        <v>8.4996600000000004</v>
      </c>
      <c r="BS94" s="371">
        <v>8.6663200000000007</v>
      </c>
      <c r="BT94" s="371">
        <v>10.49958</v>
      </c>
      <c r="BU94" s="371">
        <v>11.99952</v>
      </c>
      <c r="BV94" s="371">
        <v>11.99952</v>
      </c>
      <c r="BW94" s="371">
        <v>21.16582</v>
      </c>
      <c r="BX94" s="371">
        <v>29.498820000000002</v>
      </c>
      <c r="BY94" s="371">
        <v>27.99888</v>
      </c>
      <c r="BZ94" s="371">
        <v>32.332039999999999</v>
      </c>
      <c r="CA94" s="371">
        <v>22.665759999999999</v>
      </c>
      <c r="CB94" s="371">
        <v>26.165620000000001</v>
      </c>
      <c r="CC94" s="371">
        <v>25.49898</v>
      </c>
      <c r="CD94" s="371">
        <v>24.832340000000002</v>
      </c>
      <c r="CE94" s="371">
        <v>121.32848</v>
      </c>
      <c r="CF94" s="371">
        <v>121.99512</v>
      </c>
      <c r="CG94" s="371">
        <v>136.99451999999999</v>
      </c>
      <c r="CH94" s="371">
        <v>139.49441999999999</v>
      </c>
      <c r="CI94" s="371">
        <v>137.32784000000001</v>
      </c>
      <c r="CJ94" s="371">
        <v>120.99516</v>
      </c>
      <c r="CK94" s="371">
        <v>129.32816</v>
      </c>
      <c r="CL94" s="371">
        <v>138.49446</v>
      </c>
      <c r="CM94" s="371">
        <v>146.32748000000001</v>
      </c>
      <c r="CN94" s="371">
        <v>139.82774000000001</v>
      </c>
      <c r="CO94" s="371">
        <v>116.66200000000001</v>
      </c>
      <c r="CP94" s="371">
        <v>84.66328</v>
      </c>
      <c r="CQ94" s="371">
        <v>67.830619999999996</v>
      </c>
      <c r="CR94" s="371">
        <v>101.16262</v>
      </c>
      <c r="CS94" s="371">
        <v>1.16662</v>
      </c>
    </row>
    <row r="95" spans="2:97" hidden="1" x14ac:dyDescent="0.2">
      <c r="B95" s="369" t="s">
        <v>283</v>
      </c>
      <c r="C95" s="370">
        <v>5878.4554600000001</v>
      </c>
      <c r="D95" s="371">
        <v>17.42296</v>
      </c>
      <c r="E95" s="371">
        <v>21.266259999999999</v>
      </c>
      <c r="F95" s="371">
        <v>30.746400000000001</v>
      </c>
      <c r="G95" s="371">
        <v>33.308599999999998</v>
      </c>
      <c r="H95" s="371">
        <v>31.258839999999999</v>
      </c>
      <c r="I95" s="371">
        <v>36.63946</v>
      </c>
      <c r="J95" s="371">
        <v>34.333480000000002</v>
      </c>
      <c r="K95" s="371">
        <v>59.955480000000001</v>
      </c>
      <c r="L95" s="371">
        <v>87.883459999999999</v>
      </c>
      <c r="M95" s="371">
        <v>86.089920000000006</v>
      </c>
      <c r="N95" s="371">
        <v>95.05762</v>
      </c>
      <c r="O95" s="371">
        <v>77.89088000000001</v>
      </c>
      <c r="P95" s="371">
        <v>78.659539999999993</v>
      </c>
      <c r="Q95" s="371">
        <v>84.040160000000014</v>
      </c>
      <c r="R95" s="371">
        <v>81.221740000000011</v>
      </c>
      <c r="S95" s="371">
        <v>392.27282000000002</v>
      </c>
      <c r="T95" s="371">
        <v>392.52904000000001</v>
      </c>
      <c r="U95" s="371">
        <v>413.7953</v>
      </c>
      <c r="V95" s="371">
        <v>427.63117999999997</v>
      </c>
      <c r="W95" s="371">
        <v>399.70320000000004</v>
      </c>
      <c r="X95" s="371">
        <v>354.35226</v>
      </c>
      <c r="Y95" s="371">
        <v>367.16326000000004</v>
      </c>
      <c r="Z95" s="371">
        <v>382.02402000000001</v>
      </c>
      <c r="AA95" s="371">
        <v>427.37495999999999</v>
      </c>
      <c r="AB95" s="371">
        <v>408.41467999999998</v>
      </c>
      <c r="AC95" s="371">
        <v>341.28503999999998</v>
      </c>
      <c r="AD95" s="371">
        <v>258.01354000000003</v>
      </c>
      <c r="AE95" s="371">
        <v>194.47098</v>
      </c>
      <c r="AF95" s="371">
        <v>260.06330000000003</v>
      </c>
      <c r="AG95" s="371">
        <v>3.5870800000000003</v>
      </c>
      <c r="AI95" s="370">
        <v>2838.9176000000002</v>
      </c>
      <c r="AJ95" s="371">
        <v>8.7114799999999999</v>
      </c>
      <c r="AK95" s="371">
        <v>12.042339999999999</v>
      </c>
      <c r="AL95" s="371">
        <v>17.679179999999999</v>
      </c>
      <c r="AM95" s="371">
        <v>19.98516</v>
      </c>
      <c r="AN95" s="371">
        <v>15.11698</v>
      </c>
      <c r="AO95" s="371">
        <v>18.19162</v>
      </c>
      <c r="AP95" s="371">
        <v>15.88564</v>
      </c>
      <c r="AQ95" s="371">
        <v>27.41554</v>
      </c>
      <c r="AR95" s="371">
        <v>42.532519999999998</v>
      </c>
      <c r="AS95" s="371">
        <v>43.044960000000003</v>
      </c>
      <c r="AT95" s="371">
        <v>45.350940000000001</v>
      </c>
      <c r="AU95" s="371">
        <v>43.044960000000003</v>
      </c>
      <c r="AV95" s="371">
        <v>38.433</v>
      </c>
      <c r="AW95" s="371">
        <v>44.838500000000003</v>
      </c>
      <c r="AX95" s="371">
        <v>43.044960000000003</v>
      </c>
      <c r="AY95" s="371">
        <v>205.74466000000001</v>
      </c>
      <c r="AZ95" s="371">
        <v>204.976</v>
      </c>
      <c r="BA95" s="371">
        <v>203.18245999999999</v>
      </c>
      <c r="BB95" s="371">
        <v>213.17504</v>
      </c>
      <c r="BC95" s="371">
        <v>188.57792000000001</v>
      </c>
      <c r="BD95" s="371">
        <v>168.33654000000001</v>
      </c>
      <c r="BE95" s="371">
        <v>168.33654000000001</v>
      </c>
      <c r="BF95" s="371">
        <v>169.1052</v>
      </c>
      <c r="BG95" s="371">
        <v>202.41380000000001</v>
      </c>
      <c r="BH95" s="371">
        <v>193.4461</v>
      </c>
      <c r="BI95" s="371">
        <v>161.93104</v>
      </c>
      <c r="BJ95" s="371">
        <v>127.85378</v>
      </c>
      <c r="BK95" s="371">
        <v>90.189440000000005</v>
      </c>
      <c r="BL95" s="371">
        <v>104.53776000000001</v>
      </c>
      <c r="BM95" s="371">
        <v>1.7935400000000001</v>
      </c>
      <c r="BO95" s="370">
        <v>3039.5378600000004</v>
      </c>
      <c r="BP95" s="371">
        <v>8.7114799999999999</v>
      </c>
      <c r="BQ95" s="371">
        <v>9.2239199999999997</v>
      </c>
      <c r="BR95" s="371">
        <v>13.067220000000001</v>
      </c>
      <c r="BS95" s="371">
        <v>13.32344</v>
      </c>
      <c r="BT95" s="371">
        <v>16.141860000000001</v>
      </c>
      <c r="BU95" s="371">
        <v>18.447839999999999</v>
      </c>
      <c r="BV95" s="371">
        <v>18.447839999999999</v>
      </c>
      <c r="BW95" s="371">
        <v>32.539940000000001</v>
      </c>
      <c r="BX95" s="371">
        <v>45.350940000000001</v>
      </c>
      <c r="BY95" s="371">
        <v>43.044960000000003</v>
      </c>
      <c r="BZ95" s="371">
        <v>49.706679999999999</v>
      </c>
      <c r="CA95" s="371">
        <v>34.84592</v>
      </c>
      <c r="CB95" s="371">
        <v>40.22654</v>
      </c>
      <c r="CC95" s="371">
        <v>39.201660000000004</v>
      </c>
      <c r="CD95" s="371">
        <v>38.176780000000001</v>
      </c>
      <c r="CE95" s="371">
        <v>186.52816000000001</v>
      </c>
      <c r="CF95" s="371">
        <v>187.55304000000001</v>
      </c>
      <c r="CG95" s="371">
        <v>210.61284000000001</v>
      </c>
      <c r="CH95" s="371">
        <v>214.45614</v>
      </c>
      <c r="CI95" s="371">
        <v>211.12528</v>
      </c>
      <c r="CJ95" s="371">
        <v>186.01572000000002</v>
      </c>
      <c r="CK95" s="371">
        <v>198.82671999999999</v>
      </c>
      <c r="CL95" s="371">
        <v>212.91882000000001</v>
      </c>
      <c r="CM95" s="371">
        <v>224.96116000000001</v>
      </c>
      <c r="CN95" s="371">
        <v>214.96858</v>
      </c>
      <c r="CO95" s="371">
        <v>179.35400000000001</v>
      </c>
      <c r="CP95" s="371">
        <v>130.15976000000001</v>
      </c>
      <c r="CQ95" s="371">
        <v>104.28154000000001</v>
      </c>
      <c r="CR95" s="371">
        <v>155.52554000000001</v>
      </c>
      <c r="CS95" s="371">
        <v>1.7935400000000001</v>
      </c>
    </row>
    <row r="96" spans="2:97" hidden="1" x14ac:dyDescent="0.2">
      <c r="B96" s="369" t="s">
        <v>284</v>
      </c>
      <c r="C96" s="370">
        <v>3823.909810000001</v>
      </c>
      <c r="D96" s="371">
        <v>11.33356</v>
      </c>
      <c r="E96" s="371">
        <v>13.83361</v>
      </c>
      <c r="F96" s="371">
        <v>20.000399999999999</v>
      </c>
      <c r="G96" s="371">
        <v>21.667100000000001</v>
      </c>
      <c r="H96" s="371">
        <v>20.333740000000002</v>
      </c>
      <c r="I96" s="371">
        <v>23.833810000000003</v>
      </c>
      <c r="J96" s="371">
        <v>22.333780000000004</v>
      </c>
      <c r="K96" s="371">
        <v>39.000780000000006</v>
      </c>
      <c r="L96" s="371">
        <v>57.167810000000003</v>
      </c>
      <c r="M96" s="371">
        <v>56.001120000000007</v>
      </c>
      <c r="N96" s="371">
        <v>61.834570000000006</v>
      </c>
      <c r="O96" s="371">
        <v>50.667680000000004</v>
      </c>
      <c r="P96" s="371">
        <v>51.167690000000007</v>
      </c>
      <c r="Q96" s="371">
        <v>54.667760000000001</v>
      </c>
      <c r="R96" s="371">
        <v>52.834390000000006</v>
      </c>
      <c r="S96" s="371">
        <v>255.17177000000004</v>
      </c>
      <c r="T96" s="371">
        <v>255.33844000000002</v>
      </c>
      <c r="U96" s="371">
        <v>269.17205000000001</v>
      </c>
      <c r="V96" s="371">
        <v>278.17223000000001</v>
      </c>
      <c r="W96" s="371">
        <v>260.0052</v>
      </c>
      <c r="X96" s="371">
        <v>230.50461000000001</v>
      </c>
      <c r="Y96" s="371">
        <v>238.83811000000003</v>
      </c>
      <c r="Z96" s="371">
        <v>248.50497000000001</v>
      </c>
      <c r="AA96" s="371">
        <v>278.00556000000006</v>
      </c>
      <c r="AB96" s="371">
        <v>265.67198000000002</v>
      </c>
      <c r="AC96" s="371">
        <v>222.00444000000002</v>
      </c>
      <c r="AD96" s="371">
        <v>167.83669000000003</v>
      </c>
      <c r="AE96" s="371">
        <v>126.50253000000001</v>
      </c>
      <c r="AF96" s="371">
        <v>169.17005</v>
      </c>
      <c r="AG96" s="371">
        <v>2.33338</v>
      </c>
      <c r="AI96" s="370">
        <v>1846.7035999999998</v>
      </c>
      <c r="AJ96" s="371">
        <v>5.6667800000000002</v>
      </c>
      <c r="AK96" s="371">
        <v>7.8334900000000003</v>
      </c>
      <c r="AL96" s="371">
        <v>11.50023</v>
      </c>
      <c r="AM96" s="371">
        <v>13.000260000000001</v>
      </c>
      <c r="AN96" s="371">
        <v>9.8335300000000014</v>
      </c>
      <c r="AO96" s="371">
        <v>11.833570000000002</v>
      </c>
      <c r="AP96" s="371">
        <v>10.333540000000001</v>
      </c>
      <c r="AQ96" s="371">
        <v>17.833690000000001</v>
      </c>
      <c r="AR96" s="371">
        <v>27.66722</v>
      </c>
      <c r="AS96" s="371">
        <v>28.000560000000004</v>
      </c>
      <c r="AT96" s="371">
        <v>29.500590000000003</v>
      </c>
      <c r="AU96" s="371">
        <v>28.000560000000004</v>
      </c>
      <c r="AV96" s="371">
        <v>25.000500000000002</v>
      </c>
      <c r="AW96" s="371">
        <v>29.167250000000003</v>
      </c>
      <c r="AX96" s="371">
        <v>28.000560000000004</v>
      </c>
      <c r="AY96" s="371">
        <v>133.83601000000002</v>
      </c>
      <c r="AZ96" s="371">
        <v>133.33600000000001</v>
      </c>
      <c r="BA96" s="371">
        <v>132.16931</v>
      </c>
      <c r="BB96" s="371">
        <v>138.66944000000001</v>
      </c>
      <c r="BC96" s="371">
        <v>122.66912000000001</v>
      </c>
      <c r="BD96" s="371">
        <v>109.50219000000001</v>
      </c>
      <c r="BE96" s="371">
        <v>109.50219000000001</v>
      </c>
      <c r="BF96" s="371">
        <v>110.0022</v>
      </c>
      <c r="BG96" s="371">
        <v>131.66930000000002</v>
      </c>
      <c r="BH96" s="371">
        <v>125.83585000000001</v>
      </c>
      <c r="BI96" s="371">
        <v>105.33544000000001</v>
      </c>
      <c r="BJ96" s="371">
        <v>83.168330000000012</v>
      </c>
      <c r="BK96" s="371">
        <v>58.667840000000005</v>
      </c>
      <c r="BL96" s="371">
        <v>68.001360000000005</v>
      </c>
      <c r="BM96" s="371">
        <v>1.16669</v>
      </c>
      <c r="BO96" s="370">
        <v>1977.2062100000001</v>
      </c>
      <c r="BP96" s="371">
        <v>5.6667800000000002</v>
      </c>
      <c r="BQ96" s="371">
        <v>6.0001200000000008</v>
      </c>
      <c r="BR96" s="371">
        <v>8.5001700000000007</v>
      </c>
      <c r="BS96" s="371">
        <v>8.6668400000000005</v>
      </c>
      <c r="BT96" s="371">
        <v>10.500210000000001</v>
      </c>
      <c r="BU96" s="371">
        <v>12.000240000000002</v>
      </c>
      <c r="BV96" s="371">
        <v>12.000240000000002</v>
      </c>
      <c r="BW96" s="371">
        <v>21.167090000000002</v>
      </c>
      <c r="BX96" s="371">
        <v>29.500590000000003</v>
      </c>
      <c r="BY96" s="371">
        <v>28.000560000000004</v>
      </c>
      <c r="BZ96" s="371">
        <v>32.333980000000004</v>
      </c>
      <c r="CA96" s="371">
        <v>22.667120000000001</v>
      </c>
      <c r="CB96" s="371">
        <v>26.167190000000002</v>
      </c>
      <c r="CC96" s="371">
        <v>25.500510000000002</v>
      </c>
      <c r="CD96" s="371">
        <v>24.833830000000003</v>
      </c>
      <c r="CE96" s="371">
        <v>121.33576000000001</v>
      </c>
      <c r="CF96" s="371">
        <v>122.00244000000001</v>
      </c>
      <c r="CG96" s="371">
        <v>137.00274000000002</v>
      </c>
      <c r="CH96" s="371">
        <v>139.50279</v>
      </c>
      <c r="CI96" s="371">
        <v>137.33608000000001</v>
      </c>
      <c r="CJ96" s="371">
        <v>121.00242000000001</v>
      </c>
      <c r="CK96" s="371">
        <v>129.33592000000002</v>
      </c>
      <c r="CL96" s="371">
        <v>138.50277</v>
      </c>
      <c r="CM96" s="371">
        <v>146.33626000000001</v>
      </c>
      <c r="CN96" s="371">
        <v>139.83613</v>
      </c>
      <c r="CO96" s="371">
        <v>116.66900000000001</v>
      </c>
      <c r="CP96" s="371">
        <v>84.668360000000007</v>
      </c>
      <c r="CQ96" s="371">
        <v>67.834690000000009</v>
      </c>
      <c r="CR96" s="371">
        <v>101.16869000000001</v>
      </c>
      <c r="CS96" s="371">
        <v>1.16669</v>
      </c>
    </row>
    <row r="97" spans="2:97" hidden="1" x14ac:dyDescent="0.2">
      <c r="B97" s="369" t="s">
        <v>285</v>
      </c>
      <c r="C97" s="370">
        <v>1597.9799499999999</v>
      </c>
      <c r="D97" s="371">
        <v>4.7362000000000002</v>
      </c>
      <c r="E97" s="371">
        <v>5.7809500000000007</v>
      </c>
      <c r="F97" s="371">
        <v>8.3580000000000005</v>
      </c>
      <c r="G97" s="371">
        <v>9.0545000000000009</v>
      </c>
      <c r="H97" s="371">
        <v>8.4972999999999992</v>
      </c>
      <c r="I97" s="371">
        <v>9.9599499999999992</v>
      </c>
      <c r="J97" s="371">
        <v>9.3331</v>
      </c>
      <c r="K97" s="371">
        <v>16.298100000000002</v>
      </c>
      <c r="L97" s="371">
        <v>23.889950000000002</v>
      </c>
      <c r="M97" s="371">
        <v>23.4024</v>
      </c>
      <c r="N97" s="371">
        <v>25.840150000000001</v>
      </c>
      <c r="O97" s="371">
        <v>21.1736</v>
      </c>
      <c r="P97" s="371">
        <v>21.382550000000002</v>
      </c>
      <c r="Q97" s="371">
        <v>22.845200000000002</v>
      </c>
      <c r="R97" s="371">
        <v>22.079050000000002</v>
      </c>
      <c r="S97" s="371">
        <v>106.63415000000001</v>
      </c>
      <c r="T97" s="371">
        <v>106.7038</v>
      </c>
      <c r="U97" s="371">
        <v>112.48475000000001</v>
      </c>
      <c r="V97" s="371">
        <v>116.24585000000002</v>
      </c>
      <c r="W97" s="371">
        <v>108.654</v>
      </c>
      <c r="X97" s="371">
        <v>96.325950000000006</v>
      </c>
      <c r="Y97" s="371">
        <v>99.808449999999993</v>
      </c>
      <c r="Z97" s="371">
        <v>103.84815</v>
      </c>
      <c r="AA97" s="371">
        <v>116.17620000000001</v>
      </c>
      <c r="AB97" s="371">
        <v>111.02210000000001</v>
      </c>
      <c r="AC97" s="371">
        <v>92.773799999999994</v>
      </c>
      <c r="AD97" s="371">
        <v>70.137550000000005</v>
      </c>
      <c r="AE97" s="371">
        <v>52.864350000000002</v>
      </c>
      <c r="AF97" s="371">
        <v>70.694749999999999</v>
      </c>
      <c r="AG97" s="371">
        <v>0.97510000000000008</v>
      </c>
      <c r="AI97" s="370">
        <v>771.72200000000009</v>
      </c>
      <c r="AJ97" s="371">
        <v>2.3681000000000001</v>
      </c>
      <c r="AK97" s="371">
        <v>3.2735500000000002</v>
      </c>
      <c r="AL97" s="371">
        <v>4.8058500000000004</v>
      </c>
      <c r="AM97" s="371">
        <v>5.4327000000000005</v>
      </c>
      <c r="AN97" s="371">
        <v>4.1093500000000001</v>
      </c>
      <c r="AO97" s="371">
        <v>4.9451499999999999</v>
      </c>
      <c r="AP97" s="371">
        <v>4.3182999999999998</v>
      </c>
      <c r="AQ97" s="371">
        <v>7.4525500000000005</v>
      </c>
      <c r="AR97" s="371">
        <v>11.561900000000001</v>
      </c>
      <c r="AS97" s="371">
        <v>11.7012</v>
      </c>
      <c r="AT97" s="371">
        <v>12.328050000000001</v>
      </c>
      <c r="AU97" s="371">
        <v>11.7012</v>
      </c>
      <c r="AV97" s="371">
        <v>10.4475</v>
      </c>
      <c r="AW97" s="371">
        <v>12.188750000000001</v>
      </c>
      <c r="AX97" s="371">
        <v>11.7012</v>
      </c>
      <c r="AY97" s="371">
        <v>55.92895</v>
      </c>
      <c r="AZ97" s="371">
        <v>55.720000000000006</v>
      </c>
      <c r="BA97" s="371">
        <v>55.23245</v>
      </c>
      <c r="BB97" s="371">
        <v>57.948800000000006</v>
      </c>
      <c r="BC97" s="371">
        <v>51.2624</v>
      </c>
      <c r="BD97" s="371">
        <v>45.76005</v>
      </c>
      <c r="BE97" s="371">
        <v>45.76005</v>
      </c>
      <c r="BF97" s="371">
        <v>45.969000000000001</v>
      </c>
      <c r="BG97" s="371">
        <v>55.023500000000006</v>
      </c>
      <c r="BH97" s="371">
        <v>52.585750000000004</v>
      </c>
      <c r="BI97" s="371">
        <v>44.018799999999999</v>
      </c>
      <c r="BJ97" s="371">
        <v>34.75535</v>
      </c>
      <c r="BK97" s="371">
        <v>24.5168</v>
      </c>
      <c r="BL97" s="371">
        <v>28.417200000000001</v>
      </c>
      <c r="BM97" s="371">
        <v>0.48755000000000004</v>
      </c>
      <c r="BO97" s="370">
        <v>826.25795000000005</v>
      </c>
      <c r="BP97" s="371">
        <v>2.3681000000000001</v>
      </c>
      <c r="BQ97" s="371">
        <v>2.5074000000000001</v>
      </c>
      <c r="BR97" s="371">
        <v>3.5521500000000001</v>
      </c>
      <c r="BS97" s="371">
        <v>3.6218000000000004</v>
      </c>
      <c r="BT97" s="371">
        <v>4.38795</v>
      </c>
      <c r="BU97" s="371">
        <v>5.0148000000000001</v>
      </c>
      <c r="BV97" s="371">
        <v>5.0148000000000001</v>
      </c>
      <c r="BW97" s="371">
        <v>8.8455500000000011</v>
      </c>
      <c r="BX97" s="371">
        <v>12.328050000000001</v>
      </c>
      <c r="BY97" s="371">
        <v>11.7012</v>
      </c>
      <c r="BZ97" s="371">
        <v>13.5121</v>
      </c>
      <c r="CA97" s="371">
        <v>9.4724000000000004</v>
      </c>
      <c r="CB97" s="371">
        <v>10.93505</v>
      </c>
      <c r="CC97" s="371">
        <v>10.656450000000001</v>
      </c>
      <c r="CD97" s="371">
        <v>10.37785</v>
      </c>
      <c r="CE97" s="371">
        <v>50.705200000000005</v>
      </c>
      <c r="CF97" s="371">
        <v>50.983800000000002</v>
      </c>
      <c r="CG97" s="371">
        <v>57.252300000000005</v>
      </c>
      <c r="CH97" s="371">
        <v>58.297050000000006</v>
      </c>
      <c r="CI97" s="371">
        <v>57.391600000000004</v>
      </c>
      <c r="CJ97" s="371">
        <v>50.565899999999999</v>
      </c>
      <c r="CK97" s="371">
        <v>54.048400000000001</v>
      </c>
      <c r="CL97" s="371">
        <v>57.879150000000003</v>
      </c>
      <c r="CM97" s="371">
        <v>61.152700000000003</v>
      </c>
      <c r="CN97" s="371">
        <v>58.436350000000004</v>
      </c>
      <c r="CO97" s="371">
        <v>48.755000000000003</v>
      </c>
      <c r="CP97" s="371">
        <v>35.382200000000005</v>
      </c>
      <c r="CQ97" s="371">
        <v>28.347550000000002</v>
      </c>
      <c r="CR97" s="371">
        <v>42.277550000000005</v>
      </c>
      <c r="CS97" s="371">
        <v>0.48755000000000004</v>
      </c>
    </row>
    <row r="98" spans="2:97" hidden="1" x14ac:dyDescent="0.2">
      <c r="B98" s="369" t="s">
        <v>286</v>
      </c>
      <c r="C98" s="370">
        <v>2568.2394199999999</v>
      </c>
      <c r="D98" s="371">
        <v>7.6119199999999996</v>
      </c>
      <c r="E98" s="371">
        <v>9.2910199999999996</v>
      </c>
      <c r="F98" s="371">
        <v>13.4328</v>
      </c>
      <c r="G98" s="371">
        <v>14.552199999999999</v>
      </c>
      <c r="H98" s="371">
        <v>13.65668</v>
      </c>
      <c r="I98" s="371">
        <v>16.00742</v>
      </c>
      <c r="J98" s="371">
        <v>14.99996</v>
      </c>
      <c r="K98" s="371">
        <v>26.193959999999997</v>
      </c>
      <c r="L98" s="371">
        <v>38.395420000000001</v>
      </c>
      <c r="M98" s="371">
        <v>37.611840000000001</v>
      </c>
      <c r="N98" s="371">
        <v>41.529739999999997</v>
      </c>
      <c r="O98" s="371">
        <v>34.029759999999996</v>
      </c>
      <c r="P98" s="371">
        <v>34.365580000000001</v>
      </c>
      <c r="Q98" s="371">
        <v>36.716319999999996</v>
      </c>
      <c r="R98" s="371">
        <v>35.48498</v>
      </c>
      <c r="S98" s="371">
        <v>171.38013999999998</v>
      </c>
      <c r="T98" s="371">
        <v>171.49207999999999</v>
      </c>
      <c r="U98" s="371">
        <v>180.78309999999999</v>
      </c>
      <c r="V98" s="371">
        <v>186.82785999999999</v>
      </c>
      <c r="W98" s="371">
        <v>174.62639999999999</v>
      </c>
      <c r="X98" s="371">
        <v>154.81301999999999</v>
      </c>
      <c r="Y98" s="371">
        <v>160.41001999999997</v>
      </c>
      <c r="Z98" s="371">
        <v>166.90253999999999</v>
      </c>
      <c r="AA98" s="371">
        <v>186.71591999999998</v>
      </c>
      <c r="AB98" s="371">
        <v>178.43236000000002</v>
      </c>
      <c r="AC98" s="371">
        <v>149.10408000000001</v>
      </c>
      <c r="AD98" s="371">
        <v>112.72358</v>
      </c>
      <c r="AE98" s="371">
        <v>84.962459999999993</v>
      </c>
      <c r="AF98" s="371">
        <v>113.6191</v>
      </c>
      <c r="AG98" s="371">
        <v>1.5671599999999999</v>
      </c>
      <c r="AI98" s="370">
        <v>1240.2952000000002</v>
      </c>
      <c r="AJ98" s="371">
        <v>3.8059599999999998</v>
      </c>
      <c r="AK98" s="371">
        <v>5.2611799999999995</v>
      </c>
      <c r="AL98" s="371">
        <v>7.7238600000000002</v>
      </c>
      <c r="AM98" s="371">
        <v>8.7313200000000002</v>
      </c>
      <c r="AN98" s="371">
        <v>6.6044599999999996</v>
      </c>
      <c r="AO98" s="371">
        <v>7.9477399999999996</v>
      </c>
      <c r="AP98" s="371">
        <v>6.9402799999999996</v>
      </c>
      <c r="AQ98" s="371">
        <v>11.97758</v>
      </c>
      <c r="AR98" s="371">
        <v>18.582039999999999</v>
      </c>
      <c r="AS98" s="371">
        <v>18.80592</v>
      </c>
      <c r="AT98" s="371">
        <v>19.813379999999999</v>
      </c>
      <c r="AU98" s="371">
        <v>18.80592</v>
      </c>
      <c r="AV98" s="371">
        <v>16.791</v>
      </c>
      <c r="AW98" s="371">
        <v>19.589500000000001</v>
      </c>
      <c r="AX98" s="371">
        <v>18.80592</v>
      </c>
      <c r="AY98" s="371">
        <v>89.887820000000005</v>
      </c>
      <c r="AZ98" s="371">
        <v>89.551999999999992</v>
      </c>
      <c r="BA98" s="371">
        <v>88.768419999999992</v>
      </c>
      <c r="BB98" s="371">
        <v>93.134079999999997</v>
      </c>
      <c r="BC98" s="371">
        <v>82.387839999999997</v>
      </c>
      <c r="BD98" s="371">
        <v>73.544579999999996</v>
      </c>
      <c r="BE98" s="371">
        <v>73.544579999999996</v>
      </c>
      <c r="BF98" s="371">
        <v>73.880399999999995</v>
      </c>
      <c r="BG98" s="371">
        <v>88.432599999999994</v>
      </c>
      <c r="BH98" s="371">
        <v>84.514700000000005</v>
      </c>
      <c r="BI98" s="371">
        <v>70.746079999999992</v>
      </c>
      <c r="BJ98" s="371">
        <v>55.858060000000002</v>
      </c>
      <c r="BK98" s="371">
        <v>39.402879999999996</v>
      </c>
      <c r="BL98" s="371">
        <v>45.671520000000001</v>
      </c>
      <c r="BM98" s="371">
        <v>0.78357999999999994</v>
      </c>
      <c r="BO98" s="370">
        <v>1327.9442200000003</v>
      </c>
      <c r="BP98" s="371">
        <v>3.8059599999999998</v>
      </c>
      <c r="BQ98" s="371">
        <v>4.0298400000000001</v>
      </c>
      <c r="BR98" s="371">
        <v>5.7089400000000001</v>
      </c>
      <c r="BS98" s="371">
        <v>5.8208799999999998</v>
      </c>
      <c r="BT98" s="371">
        <v>7.0522200000000002</v>
      </c>
      <c r="BU98" s="371">
        <v>8.0596800000000002</v>
      </c>
      <c r="BV98" s="371">
        <v>8.0596800000000002</v>
      </c>
      <c r="BW98" s="371">
        <v>14.216379999999999</v>
      </c>
      <c r="BX98" s="371">
        <v>19.813379999999999</v>
      </c>
      <c r="BY98" s="371">
        <v>18.80592</v>
      </c>
      <c r="BZ98" s="371">
        <v>21.716359999999998</v>
      </c>
      <c r="CA98" s="371">
        <v>15.223839999999999</v>
      </c>
      <c r="CB98" s="371">
        <v>17.574580000000001</v>
      </c>
      <c r="CC98" s="371">
        <v>17.126819999999999</v>
      </c>
      <c r="CD98" s="371">
        <v>16.67906</v>
      </c>
      <c r="CE98" s="371">
        <v>81.492319999999992</v>
      </c>
      <c r="CF98" s="371">
        <v>81.940079999999995</v>
      </c>
      <c r="CG98" s="371">
        <v>92.014679999999998</v>
      </c>
      <c r="CH98" s="371">
        <v>93.693780000000004</v>
      </c>
      <c r="CI98" s="371">
        <v>92.238559999999993</v>
      </c>
      <c r="CJ98" s="371">
        <v>81.268439999999998</v>
      </c>
      <c r="CK98" s="371">
        <v>86.865439999999992</v>
      </c>
      <c r="CL98" s="371">
        <v>93.022139999999993</v>
      </c>
      <c r="CM98" s="371">
        <v>98.283320000000003</v>
      </c>
      <c r="CN98" s="371">
        <v>93.917659999999998</v>
      </c>
      <c r="CO98" s="371">
        <v>78.358000000000004</v>
      </c>
      <c r="CP98" s="371">
        <v>56.865519999999997</v>
      </c>
      <c r="CQ98" s="371">
        <v>45.559579999999997</v>
      </c>
      <c r="CR98" s="371">
        <v>67.947580000000002</v>
      </c>
      <c r="CS98" s="371">
        <v>0.78357999999999994</v>
      </c>
    </row>
    <row r="99" spans="2:97" hidden="1" x14ac:dyDescent="0.2">
      <c r="B99" s="369" t="s">
        <v>287</v>
      </c>
      <c r="C99" s="370">
        <v>1141.41425</v>
      </c>
      <c r="D99" s="371">
        <v>3.383</v>
      </c>
      <c r="E99" s="371">
        <v>4.1292499999999999</v>
      </c>
      <c r="F99" s="371">
        <v>5.9700000000000006</v>
      </c>
      <c r="G99" s="371">
        <v>6.4675000000000002</v>
      </c>
      <c r="H99" s="371">
        <v>6.0695000000000006</v>
      </c>
      <c r="I99" s="371">
        <v>7.1142500000000002</v>
      </c>
      <c r="J99" s="371">
        <v>6.666500000000001</v>
      </c>
      <c r="K99" s="371">
        <v>11.641500000000001</v>
      </c>
      <c r="L99" s="371">
        <v>17.064250000000001</v>
      </c>
      <c r="M99" s="371">
        <v>16.716000000000001</v>
      </c>
      <c r="N99" s="371">
        <v>18.457250000000002</v>
      </c>
      <c r="O99" s="371">
        <v>15.124000000000001</v>
      </c>
      <c r="P99" s="371">
        <v>15.273250000000001</v>
      </c>
      <c r="Q99" s="371">
        <v>16.318000000000001</v>
      </c>
      <c r="R99" s="371">
        <v>15.77075</v>
      </c>
      <c r="S99" s="371">
        <v>76.167249999999996</v>
      </c>
      <c r="T99" s="371">
        <v>76.217000000000013</v>
      </c>
      <c r="U99" s="371">
        <v>80.346249999999998</v>
      </c>
      <c r="V99" s="371">
        <v>83.032750000000007</v>
      </c>
      <c r="W99" s="371">
        <v>77.61</v>
      </c>
      <c r="X99" s="371">
        <v>68.804249999999996</v>
      </c>
      <c r="Y99" s="371">
        <v>71.291750000000008</v>
      </c>
      <c r="Z99" s="371">
        <v>74.177250000000001</v>
      </c>
      <c r="AA99" s="371">
        <v>82.983000000000004</v>
      </c>
      <c r="AB99" s="371">
        <v>79.301500000000004</v>
      </c>
      <c r="AC99" s="371">
        <v>66.266999999999996</v>
      </c>
      <c r="AD99" s="371">
        <v>50.09825</v>
      </c>
      <c r="AE99" s="371">
        <v>37.760249999999999</v>
      </c>
      <c r="AF99" s="371">
        <v>50.496250000000003</v>
      </c>
      <c r="AG99" s="371">
        <v>0.69650000000000001</v>
      </c>
      <c r="AI99" s="370">
        <v>551.23</v>
      </c>
      <c r="AJ99" s="371">
        <v>1.6915</v>
      </c>
      <c r="AK99" s="371">
        <v>2.3382499999999999</v>
      </c>
      <c r="AL99" s="371">
        <v>3.43275</v>
      </c>
      <c r="AM99" s="371">
        <v>3.8805000000000001</v>
      </c>
      <c r="AN99" s="371">
        <v>2.9352500000000004</v>
      </c>
      <c r="AO99" s="371">
        <v>3.5322500000000003</v>
      </c>
      <c r="AP99" s="371">
        <v>3.0845000000000002</v>
      </c>
      <c r="AQ99" s="371">
        <v>5.3232500000000007</v>
      </c>
      <c r="AR99" s="371">
        <v>8.2584999999999997</v>
      </c>
      <c r="AS99" s="371">
        <v>8.3580000000000005</v>
      </c>
      <c r="AT99" s="371">
        <v>8.8057499999999997</v>
      </c>
      <c r="AU99" s="371">
        <v>8.3580000000000005</v>
      </c>
      <c r="AV99" s="371">
        <v>7.4625000000000004</v>
      </c>
      <c r="AW99" s="371">
        <v>8.7062500000000007</v>
      </c>
      <c r="AX99" s="371">
        <v>8.3580000000000005</v>
      </c>
      <c r="AY99" s="371">
        <v>39.949249999999999</v>
      </c>
      <c r="AZ99" s="371">
        <v>39.800000000000004</v>
      </c>
      <c r="BA99" s="371">
        <v>39.451750000000004</v>
      </c>
      <c r="BB99" s="371">
        <v>41.392000000000003</v>
      </c>
      <c r="BC99" s="371">
        <v>36.616</v>
      </c>
      <c r="BD99" s="371">
        <v>32.685749999999999</v>
      </c>
      <c r="BE99" s="371">
        <v>32.685749999999999</v>
      </c>
      <c r="BF99" s="371">
        <v>32.835000000000001</v>
      </c>
      <c r="BG99" s="371">
        <v>39.302500000000002</v>
      </c>
      <c r="BH99" s="371">
        <v>37.561250000000001</v>
      </c>
      <c r="BI99" s="371">
        <v>31.442</v>
      </c>
      <c r="BJ99" s="371">
        <v>24.82525</v>
      </c>
      <c r="BK99" s="371">
        <v>17.512</v>
      </c>
      <c r="BL99" s="371">
        <v>20.298000000000002</v>
      </c>
      <c r="BM99" s="371">
        <v>0.34825</v>
      </c>
      <c r="BO99" s="370">
        <v>590.18425000000002</v>
      </c>
      <c r="BP99" s="371">
        <v>1.6915</v>
      </c>
      <c r="BQ99" s="371">
        <v>1.7910000000000001</v>
      </c>
      <c r="BR99" s="371">
        <v>2.5372500000000002</v>
      </c>
      <c r="BS99" s="371">
        <v>2.5870000000000002</v>
      </c>
      <c r="BT99" s="371">
        <v>3.1342500000000002</v>
      </c>
      <c r="BU99" s="371">
        <v>3.5820000000000003</v>
      </c>
      <c r="BV99" s="371">
        <v>3.5820000000000003</v>
      </c>
      <c r="BW99" s="371">
        <v>6.3182499999999999</v>
      </c>
      <c r="BX99" s="371">
        <v>8.8057499999999997</v>
      </c>
      <c r="BY99" s="371">
        <v>8.3580000000000005</v>
      </c>
      <c r="BZ99" s="371">
        <v>9.6515000000000004</v>
      </c>
      <c r="CA99" s="371">
        <v>6.766</v>
      </c>
      <c r="CB99" s="371">
        <v>7.8107500000000005</v>
      </c>
      <c r="CC99" s="371">
        <v>7.6117500000000007</v>
      </c>
      <c r="CD99" s="371">
        <v>7.41275</v>
      </c>
      <c r="CE99" s="371">
        <v>36.218000000000004</v>
      </c>
      <c r="CF99" s="371">
        <v>36.417000000000002</v>
      </c>
      <c r="CG99" s="371">
        <v>40.894500000000001</v>
      </c>
      <c r="CH99" s="371">
        <v>41.640750000000004</v>
      </c>
      <c r="CI99" s="371">
        <v>40.994</v>
      </c>
      <c r="CJ99" s="371">
        <v>36.118500000000004</v>
      </c>
      <c r="CK99" s="371">
        <v>38.606000000000002</v>
      </c>
      <c r="CL99" s="371">
        <v>41.34225</v>
      </c>
      <c r="CM99" s="371">
        <v>43.680500000000002</v>
      </c>
      <c r="CN99" s="371">
        <v>41.740250000000003</v>
      </c>
      <c r="CO99" s="371">
        <v>34.825000000000003</v>
      </c>
      <c r="CP99" s="371">
        <v>25.273</v>
      </c>
      <c r="CQ99" s="371">
        <v>20.248250000000002</v>
      </c>
      <c r="CR99" s="371">
        <v>30.198250000000002</v>
      </c>
      <c r="CS99" s="371">
        <v>0.34825</v>
      </c>
    </row>
    <row r="100" spans="2:97" hidden="1" x14ac:dyDescent="0.2">
      <c r="B100" s="369" t="s">
        <v>288</v>
      </c>
      <c r="C100" s="370">
        <v>1255.6703900000002</v>
      </c>
      <c r="D100" s="371">
        <v>3.7216399999999998</v>
      </c>
      <c r="E100" s="371">
        <v>4.5425899999999997</v>
      </c>
      <c r="F100" s="371">
        <v>6.5676000000000005</v>
      </c>
      <c r="G100" s="371">
        <v>7.1148999999999996</v>
      </c>
      <c r="H100" s="371">
        <v>6.67706</v>
      </c>
      <c r="I100" s="371">
        <v>7.82639</v>
      </c>
      <c r="J100" s="371">
        <v>7.3338200000000002</v>
      </c>
      <c r="K100" s="371">
        <v>12.80682</v>
      </c>
      <c r="L100" s="371">
        <v>18.772390000000001</v>
      </c>
      <c r="M100" s="371">
        <v>18.389279999999999</v>
      </c>
      <c r="N100" s="371">
        <v>20.304830000000003</v>
      </c>
      <c r="O100" s="371">
        <v>16.637920000000001</v>
      </c>
      <c r="P100" s="371">
        <v>16.802109999999999</v>
      </c>
      <c r="Q100" s="371">
        <v>17.951439999999998</v>
      </c>
      <c r="R100" s="371">
        <v>17.349409999999999</v>
      </c>
      <c r="S100" s="371">
        <v>83.791629999999998</v>
      </c>
      <c r="T100" s="371">
        <v>83.846360000000004</v>
      </c>
      <c r="U100" s="371">
        <v>88.388949999999994</v>
      </c>
      <c r="V100" s="371">
        <v>91.344369999999998</v>
      </c>
      <c r="W100" s="371">
        <v>85.378800000000012</v>
      </c>
      <c r="X100" s="371">
        <v>75.691590000000005</v>
      </c>
      <c r="Y100" s="371">
        <v>78.428089999999997</v>
      </c>
      <c r="Z100" s="371">
        <v>81.602429999999998</v>
      </c>
      <c r="AA100" s="371">
        <v>91.289639999999991</v>
      </c>
      <c r="AB100" s="371">
        <v>87.239620000000002</v>
      </c>
      <c r="AC100" s="371">
        <v>72.900360000000006</v>
      </c>
      <c r="AD100" s="371">
        <v>55.113109999999999</v>
      </c>
      <c r="AE100" s="371">
        <v>41.54007</v>
      </c>
      <c r="AF100" s="371">
        <v>55.55095</v>
      </c>
      <c r="AG100" s="371">
        <v>0.76622000000000001</v>
      </c>
      <c r="AI100" s="370">
        <v>606.40839999999992</v>
      </c>
      <c r="AJ100" s="371">
        <v>1.8608199999999999</v>
      </c>
      <c r="AK100" s="371">
        <v>2.5723099999999999</v>
      </c>
      <c r="AL100" s="371">
        <v>3.77637</v>
      </c>
      <c r="AM100" s="371">
        <v>4.2689399999999997</v>
      </c>
      <c r="AN100" s="371">
        <v>3.2290700000000001</v>
      </c>
      <c r="AO100" s="371">
        <v>3.8858299999999999</v>
      </c>
      <c r="AP100" s="371">
        <v>3.3932600000000002</v>
      </c>
      <c r="AQ100" s="371">
        <v>5.8561100000000001</v>
      </c>
      <c r="AR100" s="371">
        <v>9.0851799999999994</v>
      </c>
      <c r="AS100" s="371">
        <v>9.1946399999999997</v>
      </c>
      <c r="AT100" s="371">
        <v>9.6872100000000003</v>
      </c>
      <c r="AU100" s="371">
        <v>9.1946399999999997</v>
      </c>
      <c r="AV100" s="371">
        <v>8.2095000000000002</v>
      </c>
      <c r="AW100" s="371">
        <v>9.57775</v>
      </c>
      <c r="AX100" s="371">
        <v>9.1946399999999997</v>
      </c>
      <c r="AY100" s="371">
        <v>43.948190000000004</v>
      </c>
      <c r="AZ100" s="371">
        <v>43.783999999999999</v>
      </c>
      <c r="BA100" s="371">
        <v>43.400890000000004</v>
      </c>
      <c r="BB100" s="371">
        <v>45.535359999999997</v>
      </c>
      <c r="BC100" s="371">
        <v>40.281280000000002</v>
      </c>
      <c r="BD100" s="371">
        <v>35.957610000000003</v>
      </c>
      <c r="BE100" s="371">
        <v>35.957610000000003</v>
      </c>
      <c r="BF100" s="371">
        <v>36.1218</v>
      </c>
      <c r="BG100" s="371">
        <v>43.236699999999999</v>
      </c>
      <c r="BH100" s="371">
        <v>41.321150000000003</v>
      </c>
      <c r="BI100" s="371">
        <v>34.589359999999999</v>
      </c>
      <c r="BJ100" s="371">
        <v>27.310269999999999</v>
      </c>
      <c r="BK100" s="371">
        <v>19.264960000000002</v>
      </c>
      <c r="BL100" s="371">
        <v>22.329840000000001</v>
      </c>
      <c r="BM100" s="371">
        <v>0.38311000000000001</v>
      </c>
      <c r="BO100" s="370">
        <v>649.26198999999997</v>
      </c>
      <c r="BP100" s="371">
        <v>1.8608199999999999</v>
      </c>
      <c r="BQ100" s="371">
        <v>1.97028</v>
      </c>
      <c r="BR100" s="371">
        <v>2.7912300000000001</v>
      </c>
      <c r="BS100" s="371">
        <v>2.8459599999999998</v>
      </c>
      <c r="BT100" s="371">
        <v>3.4479899999999999</v>
      </c>
      <c r="BU100" s="371">
        <v>3.9405600000000001</v>
      </c>
      <c r="BV100" s="371">
        <v>3.9405600000000001</v>
      </c>
      <c r="BW100" s="371">
        <v>6.9507099999999999</v>
      </c>
      <c r="BX100" s="371">
        <v>9.6872100000000003</v>
      </c>
      <c r="BY100" s="371">
        <v>9.1946399999999997</v>
      </c>
      <c r="BZ100" s="371">
        <v>10.617620000000001</v>
      </c>
      <c r="CA100" s="371">
        <v>7.4432799999999997</v>
      </c>
      <c r="CB100" s="371">
        <v>8.5926100000000005</v>
      </c>
      <c r="CC100" s="371">
        <v>8.3736899999999999</v>
      </c>
      <c r="CD100" s="371">
        <v>8.154770000000001</v>
      </c>
      <c r="CE100" s="371">
        <v>39.843440000000001</v>
      </c>
      <c r="CF100" s="371">
        <v>40.062359999999998</v>
      </c>
      <c r="CG100" s="371">
        <v>44.988059999999997</v>
      </c>
      <c r="CH100" s="371">
        <v>45.809010000000001</v>
      </c>
      <c r="CI100" s="371">
        <v>45.097520000000003</v>
      </c>
      <c r="CJ100" s="371">
        <v>39.733980000000003</v>
      </c>
      <c r="CK100" s="371">
        <v>42.470480000000002</v>
      </c>
      <c r="CL100" s="371">
        <v>45.480629999999998</v>
      </c>
      <c r="CM100" s="371">
        <v>48.05294</v>
      </c>
      <c r="CN100" s="371">
        <v>45.918469999999999</v>
      </c>
      <c r="CO100" s="371">
        <v>38.311</v>
      </c>
      <c r="CP100" s="371">
        <v>27.80284</v>
      </c>
      <c r="CQ100" s="371">
        <v>22.275110000000002</v>
      </c>
      <c r="CR100" s="371">
        <v>33.221110000000003</v>
      </c>
      <c r="CS100" s="371">
        <v>0.38311000000000001</v>
      </c>
    </row>
    <row r="101" spans="2:97" hidden="1" x14ac:dyDescent="0.2">
      <c r="B101" s="369" t="s">
        <v>289</v>
      </c>
      <c r="C101" s="370">
        <v>1369.6971000000003</v>
      </c>
      <c r="D101" s="371">
        <v>4.0596000000000005</v>
      </c>
      <c r="E101" s="371">
        <v>4.9550999999999998</v>
      </c>
      <c r="F101" s="371">
        <v>7.1639999999999997</v>
      </c>
      <c r="G101" s="371">
        <v>7.7610000000000001</v>
      </c>
      <c r="H101" s="371">
        <v>7.2834000000000003</v>
      </c>
      <c r="I101" s="371">
        <v>8.5371000000000006</v>
      </c>
      <c r="J101" s="371">
        <v>7.9998000000000005</v>
      </c>
      <c r="K101" s="371">
        <v>13.969799999999999</v>
      </c>
      <c r="L101" s="371">
        <v>20.4771</v>
      </c>
      <c r="M101" s="371">
        <v>20.059200000000001</v>
      </c>
      <c r="N101" s="371">
        <v>22.148700000000002</v>
      </c>
      <c r="O101" s="371">
        <v>18.148800000000001</v>
      </c>
      <c r="P101" s="371">
        <v>18.3279</v>
      </c>
      <c r="Q101" s="371">
        <v>19.581600000000002</v>
      </c>
      <c r="R101" s="371">
        <v>18.924900000000001</v>
      </c>
      <c r="S101" s="371">
        <v>91.400700000000001</v>
      </c>
      <c r="T101" s="371">
        <v>91.460400000000007</v>
      </c>
      <c r="U101" s="371">
        <v>96.415500000000009</v>
      </c>
      <c r="V101" s="371">
        <v>99.639300000000006</v>
      </c>
      <c r="W101" s="371">
        <v>93.132000000000005</v>
      </c>
      <c r="X101" s="371">
        <v>82.565100000000001</v>
      </c>
      <c r="Y101" s="371">
        <v>85.550100000000015</v>
      </c>
      <c r="Z101" s="371">
        <v>89.012699999999995</v>
      </c>
      <c r="AA101" s="371">
        <v>99.579599999999999</v>
      </c>
      <c r="AB101" s="371">
        <v>95.161799999999999</v>
      </c>
      <c r="AC101" s="371">
        <v>79.520399999999995</v>
      </c>
      <c r="AD101" s="371">
        <v>60.117900000000006</v>
      </c>
      <c r="AE101" s="371">
        <v>45.312300000000008</v>
      </c>
      <c r="AF101" s="371">
        <v>60.595500000000001</v>
      </c>
      <c r="AG101" s="371">
        <v>0.8358000000000001</v>
      </c>
      <c r="AI101" s="370">
        <v>661.47600000000023</v>
      </c>
      <c r="AJ101" s="371">
        <v>2.0298000000000003</v>
      </c>
      <c r="AK101" s="371">
        <v>2.8059000000000003</v>
      </c>
      <c r="AL101" s="371">
        <v>4.1193</v>
      </c>
      <c r="AM101" s="371">
        <v>4.6566000000000001</v>
      </c>
      <c r="AN101" s="371">
        <v>3.5223</v>
      </c>
      <c r="AO101" s="371">
        <v>4.2387000000000006</v>
      </c>
      <c r="AP101" s="371">
        <v>3.7014</v>
      </c>
      <c r="AQ101" s="371">
        <v>6.3879000000000001</v>
      </c>
      <c r="AR101" s="371">
        <v>9.9101999999999997</v>
      </c>
      <c r="AS101" s="371">
        <v>10.0296</v>
      </c>
      <c r="AT101" s="371">
        <v>10.5669</v>
      </c>
      <c r="AU101" s="371">
        <v>10.0296</v>
      </c>
      <c r="AV101" s="371">
        <v>8.9550000000000001</v>
      </c>
      <c r="AW101" s="371">
        <v>10.4475</v>
      </c>
      <c r="AX101" s="371">
        <v>10.0296</v>
      </c>
      <c r="AY101" s="371">
        <v>47.939100000000003</v>
      </c>
      <c r="AZ101" s="371">
        <v>47.760000000000005</v>
      </c>
      <c r="BA101" s="371">
        <v>47.342100000000002</v>
      </c>
      <c r="BB101" s="371">
        <v>49.670400000000001</v>
      </c>
      <c r="BC101" s="371">
        <v>43.9392</v>
      </c>
      <c r="BD101" s="371">
        <v>39.222900000000003</v>
      </c>
      <c r="BE101" s="371">
        <v>39.222900000000003</v>
      </c>
      <c r="BF101" s="371">
        <v>39.402000000000001</v>
      </c>
      <c r="BG101" s="371">
        <v>47.163000000000004</v>
      </c>
      <c r="BH101" s="371">
        <v>45.073500000000003</v>
      </c>
      <c r="BI101" s="371">
        <v>37.730400000000003</v>
      </c>
      <c r="BJ101" s="371">
        <v>29.790300000000002</v>
      </c>
      <c r="BK101" s="371">
        <v>21.014400000000002</v>
      </c>
      <c r="BL101" s="371">
        <v>24.357600000000001</v>
      </c>
      <c r="BM101" s="371">
        <v>0.41790000000000005</v>
      </c>
      <c r="BO101" s="370">
        <v>708.22109999999998</v>
      </c>
      <c r="BP101" s="371">
        <v>2.0298000000000003</v>
      </c>
      <c r="BQ101" s="371">
        <v>2.1492</v>
      </c>
      <c r="BR101" s="371">
        <v>3.0447000000000002</v>
      </c>
      <c r="BS101" s="371">
        <v>3.1044</v>
      </c>
      <c r="BT101" s="371">
        <v>3.7611000000000003</v>
      </c>
      <c r="BU101" s="371">
        <v>4.2984</v>
      </c>
      <c r="BV101" s="371">
        <v>4.2984</v>
      </c>
      <c r="BW101" s="371">
        <v>7.5819000000000001</v>
      </c>
      <c r="BX101" s="371">
        <v>10.5669</v>
      </c>
      <c r="BY101" s="371">
        <v>10.0296</v>
      </c>
      <c r="BZ101" s="371">
        <v>11.581800000000001</v>
      </c>
      <c r="CA101" s="371">
        <v>8.1192000000000011</v>
      </c>
      <c r="CB101" s="371">
        <v>9.3729000000000013</v>
      </c>
      <c r="CC101" s="371">
        <v>9.1341000000000001</v>
      </c>
      <c r="CD101" s="371">
        <v>8.8953000000000007</v>
      </c>
      <c r="CE101" s="371">
        <v>43.461600000000004</v>
      </c>
      <c r="CF101" s="371">
        <v>43.700400000000002</v>
      </c>
      <c r="CG101" s="371">
        <v>49.073399999999999</v>
      </c>
      <c r="CH101" s="371">
        <v>49.968900000000005</v>
      </c>
      <c r="CI101" s="371">
        <v>49.192800000000005</v>
      </c>
      <c r="CJ101" s="371">
        <v>43.342200000000005</v>
      </c>
      <c r="CK101" s="371">
        <v>46.327200000000005</v>
      </c>
      <c r="CL101" s="371">
        <v>49.610700000000001</v>
      </c>
      <c r="CM101" s="371">
        <v>52.416600000000003</v>
      </c>
      <c r="CN101" s="371">
        <v>50.088300000000004</v>
      </c>
      <c r="CO101" s="371">
        <v>41.79</v>
      </c>
      <c r="CP101" s="371">
        <v>30.3276</v>
      </c>
      <c r="CQ101" s="371">
        <v>24.297900000000002</v>
      </c>
      <c r="CR101" s="371">
        <v>36.237900000000003</v>
      </c>
      <c r="CS101" s="371">
        <v>0.41790000000000005</v>
      </c>
    </row>
    <row r="102" spans="2:97" hidden="1" x14ac:dyDescent="0.2">
      <c r="B102" s="369" t="s">
        <v>290</v>
      </c>
      <c r="C102" s="370">
        <v>1483.9532400000001</v>
      </c>
      <c r="D102" s="371">
        <v>4.3982400000000004</v>
      </c>
      <c r="E102" s="371">
        <v>5.3684399999999997</v>
      </c>
      <c r="F102" s="371">
        <v>7.7616000000000005</v>
      </c>
      <c r="G102" s="371">
        <v>8.4084000000000003</v>
      </c>
      <c r="H102" s="371">
        <v>7.8909599999999998</v>
      </c>
      <c r="I102" s="371">
        <v>9.2492400000000004</v>
      </c>
      <c r="J102" s="371">
        <v>8.6671200000000006</v>
      </c>
      <c r="K102" s="371">
        <v>15.135120000000001</v>
      </c>
      <c r="L102" s="371">
        <v>22.18524</v>
      </c>
      <c r="M102" s="371">
        <v>21.732479999999999</v>
      </c>
      <c r="N102" s="371">
        <v>23.996279999999999</v>
      </c>
      <c r="O102" s="371">
        <v>19.66272</v>
      </c>
      <c r="P102" s="371">
        <v>19.856760000000001</v>
      </c>
      <c r="Q102" s="371">
        <v>21.215040000000002</v>
      </c>
      <c r="R102" s="371">
        <v>20.50356</v>
      </c>
      <c r="S102" s="371">
        <v>99.025080000000003</v>
      </c>
      <c r="T102" s="371">
        <v>99.089759999999998</v>
      </c>
      <c r="U102" s="371">
        <v>104.45820000000001</v>
      </c>
      <c r="V102" s="371">
        <v>107.95092</v>
      </c>
      <c r="W102" s="371">
        <v>100.9008</v>
      </c>
      <c r="X102" s="371">
        <v>89.452439999999996</v>
      </c>
      <c r="Y102" s="371">
        <v>92.686440000000005</v>
      </c>
      <c r="Z102" s="371">
        <v>96.437880000000007</v>
      </c>
      <c r="AA102" s="371">
        <v>107.88624</v>
      </c>
      <c r="AB102" s="371">
        <v>103.09992</v>
      </c>
      <c r="AC102" s="371">
        <v>86.153760000000005</v>
      </c>
      <c r="AD102" s="371">
        <v>65.132760000000005</v>
      </c>
      <c r="AE102" s="371">
        <v>49.092120000000001</v>
      </c>
      <c r="AF102" s="371">
        <v>65.650199999999998</v>
      </c>
      <c r="AG102" s="371">
        <v>0.90551999999999999</v>
      </c>
      <c r="AI102" s="370">
        <v>716.65440000000001</v>
      </c>
      <c r="AJ102" s="371">
        <v>2.1991200000000002</v>
      </c>
      <c r="AK102" s="371">
        <v>3.0399600000000002</v>
      </c>
      <c r="AL102" s="371">
        <v>4.4629200000000004</v>
      </c>
      <c r="AM102" s="371">
        <v>5.0450400000000002</v>
      </c>
      <c r="AN102" s="371">
        <v>3.8161200000000002</v>
      </c>
      <c r="AO102" s="371">
        <v>4.5922799999999997</v>
      </c>
      <c r="AP102" s="371">
        <v>4.0101599999999999</v>
      </c>
      <c r="AQ102" s="371">
        <v>6.9207600000000005</v>
      </c>
      <c r="AR102" s="371">
        <v>10.736880000000001</v>
      </c>
      <c r="AS102" s="371">
        <v>10.866239999999999</v>
      </c>
      <c r="AT102" s="371">
        <v>11.448360000000001</v>
      </c>
      <c r="AU102" s="371">
        <v>10.866239999999999</v>
      </c>
      <c r="AV102" s="371">
        <v>9.702</v>
      </c>
      <c r="AW102" s="371">
        <v>11.319000000000001</v>
      </c>
      <c r="AX102" s="371">
        <v>10.866239999999999</v>
      </c>
      <c r="AY102" s="371">
        <v>51.938040000000001</v>
      </c>
      <c r="AZ102" s="371">
        <v>51.744</v>
      </c>
      <c r="BA102" s="371">
        <v>51.291240000000002</v>
      </c>
      <c r="BB102" s="371">
        <v>53.813760000000002</v>
      </c>
      <c r="BC102" s="371">
        <v>47.604480000000002</v>
      </c>
      <c r="BD102" s="371">
        <v>42.494759999999999</v>
      </c>
      <c r="BE102" s="371">
        <v>42.494759999999999</v>
      </c>
      <c r="BF102" s="371">
        <v>42.688800000000001</v>
      </c>
      <c r="BG102" s="371">
        <v>51.097200000000001</v>
      </c>
      <c r="BH102" s="371">
        <v>48.833400000000005</v>
      </c>
      <c r="BI102" s="371">
        <v>40.877760000000002</v>
      </c>
      <c r="BJ102" s="371">
        <v>32.275320000000001</v>
      </c>
      <c r="BK102" s="371">
        <v>22.76736</v>
      </c>
      <c r="BL102" s="371">
        <v>26.38944</v>
      </c>
      <c r="BM102" s="371">
        <v>0.45276</v>
      </c>
      <c r="BO102" s="370">
        <v>767.29883999999993</v>
      </c>
      <c r="BP102" s="371">
        <v>2.1991200000000002</v>
      </c>
      <c r="BQ102" s="371">
        <v>2.3284799999999999</v>
      </c>
      <c r="BR102" s="371">
        <v>3.2986800000000001</v>
      </c>
      <c r="BS102" s="371">
        <v>3.3633600000000001</v>
      </c>
      <c r="BT102" s="371">
        <v>4.07484</v>
      </c>
      <c r="BU102" s="371">
        <v>4.6569599999999998</v>
      </c>
      <c r="BV102" s="371">
        <v>4.6569599999999998</v>
      </c>
      <c r="BW102" s="371">
        <v>8.214360000000001</v>
      </c>
      <c r="BX102" s="371">
        <v>11.448360000000001</v>
      </c>
      <c r="BY102" s="371">
        <v>10.866239999999999</v>
      </c>
      <c r="BZ102" s="371">
        <v>12.54792</v>
      </c>
      <c r="CA102" s="371">
        <v>8.7964800000000007</v>
      </c>
      <c r="CB102" s="371">
        <v>10.15476</v>
      </c>
      <c r="CC102" s="371">
        <v>9.8960400000000011</v>
      </c>
      <c r="CD102" s="371">
        <v>9.6373200000000008</v>
      </c>
      <c r="CE102" s="371">
        <v>47.087040000000002</v>
      </c>
      <c r="CF102" s="371">
        <v>47.345759999999999</v>
      </c>
      <c r="CG102" s="371">
        <v>53.166960000000003</v>
      </c>
      <c r="CH102" s="371">
        <v>54.137160000000002</v>
      </c>
      <c r="CI102" s="371">
        <v>53.296320000000001</v>
      </c>
      <c r="CJ102" s="371">
        <v>46.957680000000003</v>
      </c>
      <c r="CK102" s="371">
        <v>50.191679999999998</v>
      </c>
      <c r="CL102" s="371">
        <v>53.749079999999999</v>
      </c>
      <c r="CM102" s="371">
        <v>56.78904</v>
      </c>
      <c r="CN102" s="371">
        <v>54.26652</v>
      </c>
      <c r="CO102" s="371">
        <v>45.276000000000003</v>
      </c>
      <c r="CP102" s="371">
        <v>32.857440000000004</v>
      </c>
      <c r="CQ102" s="371">
        <v>26.324760000000001</v>
      </c>
      <c r="CR102" s="371">
        <v>39.260759999999998</v>
      </c>
      <c r="CS102" s="371">
        <v>0.45276</v>
      </c>
    </row>
    <row r="103" spans="2:97" ht="18.75" hidden="1" customHeight="1" x14ac:dyDescent="0.2">
      <c r="B103" s="372" t="s">
        <v>291</v>
      </c>
      <c r="C103" s="373">
        <v>36032.000000000007</v>
      </c>
      <c r="D103" s="373">
        <v>181</v>
      </c>
      <c r="E103" s="373">
        <v>265</v>
      </c>
      <c r="F103" s="373">
        <v>321</v>
      </c>
      <c r="G103" s="373">
        <v>330</v>
      </c>
      <c r="H103" s="373">
        <v>350.99999999999994</v>
      </c>
      <c r="I103" s="373">
        <v>395.00000000000006</v>
      </c>
      <c r="J103" s="373">
        <v>368</v>
      </c>
      <c r="K103" s="373">
        <v>442.00000000000011</v>
      </c>
      <c r="L103" s="373">
        <v>503.00000000000006</v>
      </c>
      <c r="M103" s="373">
        <v>477.99999999999994</v>
      </c>
      <c r="N103" s="373">
        <v>511</v>
      </c>
      <c r="O103" s="373">
        <v>456.00000000000006</v>
      </c>
      <c r="P103" s="373">
        <v>450</v>
      </c>
      <c r="Q103" s="373">
        <v>485.99999999999994</v>
      </c>
      <c r="R103" s="373">
        <v>472.99999999999994</v>
      </c>
      <c r="S103" s="373">
        <v>2279</v>
      </c>
      <c r="T103" s="373">
        <v>2291</v>
      </c>
      <c r="U103" s="373">
        <v>2701.0000000000005</v>
      </c>
      <c r="V103" s="373">
        <v>2794</v>
      </c>
      <c r="W103" s="373">
        <v>2600</v>
      </c>
      <c r="X103" s="373">
        <v>2229</v>
      </c>
      <c r="Y103" s="373">
        <v>2165</v>
      </c>
      <c r="Z103" s="373">
        <v>2184.9999999999995</v>
      </c>
      <c r="AA103" s="373">
        <v>2509</v>
      </c>
      <c r="AB103" s="373">
        <v>2376</v>
      </c>
      <c r="AC103" s="373">
        <v>1973.9999999999998</v>
      </c>
      <c r="AD103" s="373">
        <v>1460</v>
      </c>
      <c r="AE103" s="373">
        <v>1059</v>
      </c>
      <c r="AF103" s="373">
        <v>1385</v>
      </c>
      <c r="AG103" s="373">
        <v>15</v>
      </c>
      <c r="AI103" s="373">
        <v>17269</v>
      </c>
      <c r="AJ103" s="373">
        <v>91</v>
      </c>
      <c r="AK103" s="373">
        <v>138</v>
      </c>
      <c r="AL103" s="373">
        <v>157</v>
      </c>
      <c r="AM103" s="373">
        <v>185.00000000000003</v>
      </c>
      <c r="AN103" s="373">
        <v>168.00000000000003</v>
      </c>
      <c r="AO103" s="373">
        <v>203.00000000000003</v>
      </c>
      <c r="AP103" s="373">
        <v>177</v>
      </c>
      <c r="AQ103" s="373">
        <v>221.99999999999997</v>
      </c>
      <c r="AR103" s="373">
        <v>259</v>
      </c>
      <c r="AS103" s="373">
        <v>244.99999999999997</v>
      </c>
      <c r="AT103" s="373">
        <v>240.99999999999997</v>
      </c>
      <c r="AU103" s="373">
        <v>252.99999999999997</v>
      </c>
      <c r="AV103" s="373">
        <v>227</v>
      </c>
      <c r="AW103" s="373">
        <v>254</v>
      </c>
      <c r="AX103" s="373">
        <v>237.99999999999997</v>
      </c>
      <c r="AY103" s="373">
        <v>1197.0000000000002</v>
      </c>
      <c r="AZ103" s="373">
        <v>1119</v>
      </c>
      <c r="BA103" s="373">
        <v>1292.0000000000002</v>
      </c>
      <c r="BB103" s="373">
        <v>1336.0000000000002</v>
      </c>
      <c r="BC103" s="373">
        <v>1189.9999999999998</v>
      </c>
      <c r="BD103" s="373">
        <v>1072.0000000000002</v>
      </c>
      <c r="BE103" s="373">
        <v>982.00000000000011</v>
      </c>
      <c r="BF103" s="373">
        <v>977.00000000000011</v>
      </c>
      <c r="BG103" s="373">
        <v>1194.9999999999998</v>
      </c>
      <c r="BH103" s="373">
        <v>1124</v>
      </c>
      <c r="BI103" s="373">
        <v>934.00000000000023</v>
      </c>
      <c r="BJ103" s="373">
        <v>727.99999999999989</v>
      </c>
      <c r="BK103" s="373">
        <v>500.00000000000006</v>
      </c>
      <c r="BL103" s="373">
        <v>558</v>
      </c>
      <c r="BM103" s="373">
        <v>7</v>
      </c>
      <c r="BO103" s="373">
        <v>18762.999999999996</v>
      </c>
      <c r="BP103" s="373">
        <v>90</v>
      </c>
      <c r="BQ103" s="373">
        <v>127</v>
      </c>
      <c r="BR103" s="373">
        <v>164.00000000000003</v>
      </c>
      <c r="BS103" s="373">
        <v>144.99999999999997</v>
      </c>
      <c r="BT103" s="373">
        <v>183.00000000000003</v>
      </c>
      <c r="BU103" s="373">
        <v>192</v>
      </c>
      <c r="BV103" s="373">
        <v>191</v>
      </c>
      <c r="BW103" s="373">
        <v>219.99999999999997</v>
      </c>
      <c r="BX103" s="373">
        <v>243.99999999999997</v>
      </c>
      <c r="BY103" s="373">
        <v>232.99999999999997</v>
      </c>
      <c r="BZ103" s="373">
        <v>270</v>
      </c>
      <c r="CA103" s="373">
        <v>203</v>
      </c>
      <c r="CB103" s="373">
        <v>223</v>
      </c>
      <c r="CC103" s="373">
        <v>232.00000000000003</v>
      </c>
      <c r="CD103" s="373">
        <v>234.99999999999997</v>
      </c>
      <c r="CE103" s="373">
        <v>1082</v>
      </c>
      <c r="CF103" s="373">
        <v>1171.9999999999998</v>
      </c>
      <c r="CG103" s="373">
        <v>1409</v>
      </c>
      <c r="CH103" s="373">
        <v>1458</v>
      </c>
      <c r="CI103" s="373">
        <v>1409.9999999999998</v>
      </c>
      <c r="CJ103" s="373">
        <v>1157</v>
      </c>
      <c r="CK103" s="373">
        <v>1183</v>
      </c>
      <c r="CL103" s="373">
        <v>1208</v>
      </c>
      <c r="CM103" s="373">
        <v>1314</v>
      </c>
      <c r="CN103" s="373">
        <v>1252.0000000000002</v>
      </c>
      <c r="CO103" s="373">
        <v>1040</v>
      </c>
      <c r="CP103" s="373">
        <v>731.99999999999989</v>
      </c>
      <c r="CQ103" s="373">
        <v>559</v>
      </c>
      <c r="CR103" s="373">
        <v>827</v>
      </c>
      <c r="CS103" s="373">
        <v>8</v>
      </c>
    </row>
    <row r="104" spans="2:97" hidden="1" x14ac:dyDescent="0.2">
      <c r="B104" s="369"/>
      <c r="C104" s="370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I104" s="370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O104" s="370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</row>
    <row r="105" spans="2:97" hidden="1" x14ac:dyDescent="0.2">
      <c r="B105" s="369" t="s">
        <v>292</v>
      </c>
      <c r="C105" s="370">
        <v>4535</v>
      </c>
      <c r="D105" s="371">
        <v>22</v>
      </c>
      <c r="E105" s="371">
        <v>35</v>
      </c>
      <c r="F105" s="371">
        <v>38</v>
      </c>
      <c r="G105" s="371">
        <v>27</v>
      </c>
      <c r="H105" s="371">
        <v>42</v>
      </c>
      <c r="I105" s="371">
        <v>41</v>
      </c>
      <c r="J105" s="371">
        <v>45</v>
      </c>
      <c r="K105" s="371">
        <v>45</v>
      </c>
      <c r="L105" s="371">
        <v>66</v>
      </c>
      <c r="M105" s="371">
        <v>63</v>
      </c>
      <c r="N105" s="371">
        <v>55</v>
      </c>
      <c r="O105" s="371">
        <v>64</v>
      </c>
      <c r="P105" s="371">
        <v>61</v>
      </c>
      <c r="Q105" s="371">
        <v>49</v>
      </c>
      <c r="R105" s="371">
        <v>58</v>
      </c>
      <c r="S105" s="371">
        <v>290</v>
      </c>
      <c r="T105" s="371">
        <v>278</v>
      </c>
      <c r="U105" s="371">
        <v>289</v>
      </c>
      <c r="V105" s="371">
        <v>334</v>
      </c>
      <c r="W105" s="371">
        <v>336</v>
      </c>
      <c r="X105" s="371">
        <v>294</v>
      </c>
      <c r="Y105" s="371">
        <v>305</v>
      </c>
      <c r="Z105" s="371">
        <v>260</v>
      </c>
      <c r="AA105" s="371">
        <v>345</v>
      </c>
      <c r="AB105" s="371">
        <v>314</v>
      </c>
      <c r="AC105" s="371">
        <v>289</v>
      </c>
      <c r="AD105" s="371">
        <v>197</v>
      </c>
      <c r="AE105" s="371">
        <v>130</v>
      </c>
      <c r="AF105" s="371">
        <v>161</v>
      </c>
      <c r="AG105" s="371">
        <v>2</v>
      </c>
      <c r="AI105" s="370">
        <v>2242</v>
      </c>
      <c r="AJ105" s="371">
        <v>10</v>
      </c>
      <c r="AK105" s="371">
        <v>15</v>
      </c>
      <c r="AL105" s="371">
        <v>23</v>
      </c>
      <c r="AM105" s="371">
        <v>11</v>
      </c>
      <c r="AN105" s="371">
        <v>14</v>
      </c>
      <c r="AO105" s="371">
        <v>18</v>
      </c>
      <c r="AP105" s="371">
        <v>25</v>
      </c>
      <c r="AQ105" s="371">
        <v>27</v>
      </c>
      <c r="AR105" s="371">
        <v>34</v>
      </c>
      <c r="AS105" s="371">
        <v>36</v>
      </c>
      <c r="AT105" s="371">
        <v>32</v>
      </c>
      <c r="AU105" s="371">
        <v>34</v>
      </c>
      <c r="AV105" s="371">
        <v>24</v>
      </c>
      <c r="AW105" s="371">
        <v>24</v>
      </c>
      <c r="AX105" s="371">
        <v>36</v>
      </c>
      <c r="AY105" s="371">
        <v>145</v>
      </c>
      <c r="AZ105" s="371">
        <v>147</v>
      </c>
      <c r="BA105" s="371">
        <v>135</v>
      </c>
      <c r="BB105" s="371">
        <v>171</v>
      </c>
      <c r="BC105" s="371">
        <v>175</v>
      </c>
      <c r="BD105" s="371">
        <v>146</v>
      </c>
      <c r="BE105" s="371">
        <v>151</v>
      </c>
      <c r="BF105" s="371">
        <v>125</v>
      </c>
      <c r="BG105" s="371">
        <v>173</v>
      </c>
      <c r="BH105" s="371">
        <v>155</v>
      </c>
      <c r="BI105" s="371">
        <v>127</v>
      </c>
      <c r="BJ105" s="371">
        <v>101</v>
      </c>
      <c r="BK105" s="371">
        <v>60</v>
      </c>
      <c r="BL105" s="371">
        <v>67</v>
      </c>
      <c r="BM105" s="371">
        <v>1</v>
      </c>
      <c r="BO105" s="370">
        <v>2293</v>
      </c>
      <c r="BP105" s="371">
        <v>12</v>
      </c>
      <c r="BQ105" s="371">
        <v>20</v>
      </c>
      <c r="BR105" s="371">
        <v>15</v>
      </c>
      <c r="BS105" s="371">
        <v>16</v>
      </c>
      <c r="BT105" s="371">
        <v>28</v>
      </c>
      <c r="BU105" s="371">
        <v>23</v>
      </c>
      <c r="BV105" s="371">
        <v>20</v>
      </c>
      <c r="BW105" s="371">
        <v>18</v>
      </c>
      <c r="BX105" s="371">
        <v>32</v>
      </c>
      <c r="BY105" s="371">
        <v>27</v>
      </c>
      <c r="BZ105" s="371">
        <v>23</v>
      </c>
      <c r="CA105" s="371">
        <v>30</v>
      </c>
      <c r="CB105" s="371">
        <v>37</v>
      </c>
      <c r="CC105" s="371">
        <v>25</v>
      </c>
      <c r="CD105" s="371">
        <v>22</v>
      </c>
      <c r="CE105" s="371">
        <v>145</v>
      </c>
      <c r="CF105" s="371">
        <v>131</v>
      </c>
      <c r="CG105" s="371">
        <v>154</v>
      </c>
      <c r="CH105" s="371">
        <v>163</v>
      </c>
      <c r="CI105" s="371">
        <v>161</v>
      </c>
      <c r="CJ105" s="371">
        <v>148</v>
      </c>
      <c r="CK105" s="371">
        <v>154</v>
      </c>
      <c r="CL105" s="371">
        <v>135</v>
      </c>
      <c r="CM105" s="371">
        <v>172</v>
      </c>
      <c r="CN105" s="371">
        <v>159</v>
      </c>
      <c r="CO105" s="371">
        <v>162</v>
      </c>
      <c r="CP105" s="371">
        <v>96</v>
      </c>
      <c r="CQ105" s="371">
        <v>70</v>
      </c>
      <c r="CR105" s="371">
        <v>94</v>
      </c>
      <c r="CS105" s="371">
        <v>1</v>
      </c>
    </row>
    <row r="106" spans="2:97" hidden="1" x14ac:dyDescent="0.2">
      <c r="B106" s="369" t="s">
        <v>293</v>
      </c>
      <c r="C106" s="370">
        <v>2159</v>
      </c>
      <c r="D106" s="371">
        <v>24</v>
      </c>
      <c r="E106" s="371">
        <v>14</v>
      </c>
      <c r="F106" s="371">
        <v>15</v>
      </c>
      <c r="G106" s="371">
        <v>11</v>
      </c>
      <c r="H106" s="371">
        <v>37</v>
      </c>
      <c r="I106" s="371">
        <v>18</v>
      </c>
      <c r="J106" s="371">
        <v>24</v>
      </c>
      <c r="K106" s="371">
        <v>28</v>
      </c>
      <c r="L106" s="371">
        <v>36</v>
      </c>
      <c r="M106" s="371">
        <v>40</v>
      </c>
      <c r="N106" s="371">
        <v>33</v>
      </c>
      <c r="O106" s="371">
        <v>21</v>
      </c>
      <c r="P106" s="371">
        <v>25</v>
      </c>
      <c r="Q106" s="371">
        <v>21</v>
      </c>
      <c r="R106" s="371">
        <v>34</v>
      </c>
      <c r="S106" s="371">
        <v>122</v>
      </c>
      <c r="T106" s="371">
        <v>157</v>
      </c>
      <c r="U106" s="371">
        <v>170</v>
      </c>
      <c r="V106" s="371">
        <v>166</v>
      </c>
      <c r="W106" s="371">
        <v>158</v>
      </c>
      <c r="X106" s="371">
        <v>133</v>
      </c>
      <c r="Y106" s="371">
        <v>126</v>
      </c>
      <c r="Z106" s="371">
        <v>139</v>
      </c>
      <c r="AA106" s="371">
        <v>158</v>
      </c>
      <c r="AB106" s="371">
        <v>116</v>
      </c>
      <c r="AC106" s="371">
        <v>121</v>
      </c>
      <c r="AD106" s="371">
        <v>85</v>
      </c>
      <c r="AE106" s="371">
        <v>63</v>
      </c>
      <c r="AF106" s="371">
        <v>64</v>
      </c>
      <c r="AG106" s="371">
        <v>0</v>
      </c>
      <c r="AI106" s="370">
        <v>1085</v>
      </c>
      <c r="AJ106" s="371">
        <v>16</v>
      </c>
      <c r="AK106" s="371">
        <v>7</v>
      </c>
      <c r="AL106" s="371">
        <v>5</v>
      </c>
      <c r="AM106" s="371">
        <v>5</v>
      </c>
      <c r="AN106" s="371">
        <v>19</v>
      </c>
      <c r="AO106" s="371">
        <v>10</v>
      </c>
      <c r="AP106" s="371">
        <v>9</v>
      </c>
      <c r="AQ106" s="371">
        <v>11</v>
      </c>
      <c r="AR106" s="371">
        <v>18</v>
      </c>
      <c r="AS106" s="371">
        <v>20</v>
      </c>
      <c r="AT106" s="371">
        <v>18</v>
      </c>
      <c r="AU106" s="371">
        <v>12</v>
      </c>
      <c r="AV106" s="371">
        <v>14</v>
      </c>
      <c r="AW106" s="371">
        <v>6</v>
      </c>
      <c r="AX106" s="371">
        <v>18</v>
      </c>
      <c r="AY106" s="371">
        <v>59</v>
      </c>
      <c r="AZ106" s="371">
        <v>81</v>
      </c>
      <c r="BA106" s="371">
        <v>81</v>
      </c>
      <c r="BB106" s="371">
        <v>80</v>
      </c>
      <c r="BC106" s="371">
        <v>82</v>
      </c>
      <c r="BD106" s="371">
        <v>68</v>
      </c>
      <c r="BE106" s="371">
        <v>57</v>
      </c>
      <c r="BF106" s="371">
        <v>72</v>
      </c>
      <c r="BG106" s="371">
        <v>88</v>
      </c>
      <c r="BH106" s="371">
        <v>64</v>
      </c>
      <c r="BI106" s="371">
        <v>58</v>
      </c>
      <c r="BJ106" s="371">
        <v>45</v>
      </c>
      <c r="BK106" s="371">
        <v>25</v>
      </c>
      <c r="BL106" s="371">
        <v>37</v>
      </c>
      <c r="BM106" s="371">
        <v>0</v>
      </c>
      <c r="BO106" s="370">
        <v>1074</v>
      </c>
      <c r="BP106" s="371">
        <v>8</v>
      </c>
      <c r="BQ106" s="371">
        <v>7</v>
      </c>
      <c r="BR106" s="371">
        <v>10</v>
      </c>
      <c r="BS106" s="371">
        <v>6</v>
      </c>
      <c r="BT106" s="371">
        <v>18</v>
      </c>
      <c r="BU106" s="371">
        <v>8</v>
      </c>
      <c r="BV106" s="371">
        <v>15</v>
      </c>
      <c r="BW106" s="371">
        <v>17</v>
      </c>
      <c r="BX106" s="371">
        <v>18</v>
      </c>
      <c r="BY106" s="371">
        <v>20</v>
      </c>
      <c r="BZ106" s="371">
        <v>15</v>
      </c>
      <c r="CA106" s="371">
        <v>9</v>
      </c>
      <c r="CB106" s="371">
        <v>11</v>
      </c>
      <c r="CC106" s="371">
        <v>15</v>
      </c>
      <c r="CD106" s="371">
        <v>16</v>
      </c>
      <c r="CE106" s="371">
        <v>63</v>
      </c>
      <c r="CF106" s="371">
        <v>76</v>
      </c>
      <c r="CG106" s="371">
        <v>89</v>
      </c>
      <c r="CH106" s="371">
        <v>86</v>
      </c>
      <c r="CI106" s="371">
        <v>76</v>
      </c>
      <c r="CJ106" s="371">
        <v>65</v>
      </c>
      <c r="CK106" s="371">
        <v>69</v>
      </c>
      <c r="CL106" s="371">
        <v>67</v>
      </c>
      <c r="CM106" s="371">
        <v>70</v>
      </c>
      <c r="CN106" s="371">
        <v>52</v>
      </c>
      <c r="CO106" s="371">
        <v>63</v>
      </c>
      <c r="CP106" s="371">
        <v>40</v>
      </c>
      <c r="CQ106" s="371">
        <v>38</v>
      </c>
      <c r="CR106" s="371">
        <v>27</v>
      </c>
      <c r="CS106" s="371">
        <v>0</v>
      </c>
    </row>
    <row r="107" spans="2:97" ht="18" hidden="1" customHeight="1" x14ac:dyDescent="0.2">
      <c r="B107" s="372" t="s">
        <v>294</v>
      </c>
      <c r="C107" s="373">
        <v>6694</v>
      </c>
      <c r="D107" s="373">
        <v>46</v>
      </c>
      <c r="E107" s="373">
        <v>49</v>
      </c>
      <c r="F107" s="373">
        <v>53</v>
      </c>
      <c r="G107" s="373">
        <v>38</v>
      </c>
      <c r="H107" s="373">
        <v>79</v>
      </c>
      <c r="I107" s="373">
        <v>59</v>
      </c>
      <c r="J107" s="373">
        <v>69</v>
      </c>
      <c r="K107" s="373">
        <v>73</v>
      </c>
      <c r="L107" s="373">
        <v>102</v>
      </c>
      <c r="M107" s="373">
        <v>103</v>
      </c>
      <c r="N107" s="373">
        <v>88</v>
      </c>
      <c r="O107" s="373">
        <v>85</v>
      </c>
      <c r="P107" s="373">
        <v>86</v>
      </c>
      <c r="Q107" s="373">
        <v>70</v>
      </c>
      <c r="R107" s="373">
        <v>92</v>
      </c>
      <c r="S107" s="373">
        <v>412</v>
      </c>
      <c r="T107" s="373">
        <v>435</v>
      </c>
      <c r="U107" s="373">
        <v>459</v>
      </c>
      <c r="V107" s="373">
        <v>500</v>
      </c>
      <c r="W107" s="373">
        <v>494</v>
      </c>
      <c r="X107" s="373">
        <v>427</v>
      </c>
      <c r="Y107" s="373">
        <v>431</v>
      </c>
      <c r="Z107" s="373">
        <v>399</v>
      </c>
      <c r="AA107" s="373">
        <v>503</v>
      </c>
      <c r="AB107" s="373">
        <v>430</v>
      </c>
      <c r="AC107" s="373">
        <v>410</v>
      </c>
      <c r="AD107" s="373">
        <v>282</v>
      </c>
      <c r="AE107" s="373">
        <v>193</v>
      </c>
      <c r="AF107" s="373">
        <v>225</v>
      </c>
      <c r="AG107" s="373">
        <v>2</v>
      </c>
      <c r="AI107" s="373">
        <v>3327</v>
      </c>
      <c r="AJ107" s="373">
        <v>26</v>
      </c>
      <c r="AK107" s="373">
        <v>22</v>
      </c>
      <c r="AL107" s="373">
        <v>28</v>
      </c>
      <c r="AM107" s="373">
        <v>16</v>
      </c>
      <c r="AN107" s="373">
        <v>33</v>
      </c>
      <c r="AO107" s="373">
        <v>28</v>
      </c>
      <c r="AP107" s="373">
        <v>34</v>
      </c>
      <c r="AQ107" s="373">
        <v>38</v>
      </c>
      <c r="AR107" s="373">
        <v>52</v>
      </c>
      <c r="AS107" s="373">
        <v>56</v>
      </c>
      <c r="AT107" s="373">
        <v>50</v>
      </c>
      <c r="AU107" s="373">
        <v>46</v>
      </c>
      <c r="AV107" s="373">
        <v>38</v>
      </c>
      <c r="AW107" s="373">
        <v>30</v>
      </c>
      <c r="AX107" s="373">
        <v>54</v>
      </c>
      <c r="AY107" s="373">
        <v>204</v>
      </c>
      <c r="AZ107" s="373">
        <v>228</v>
      </c>
      <c r="BA107" s="373">
        <v>216</v>
      </c>
      <c r="BB107" s="373">
        <v>251</v>
      </c>
      <c r="BC107" s="373">
        <v>257</v>
      </c>
      <c r="BD107" s="373">
        <v>214</v>
      </c>
      <c r="BE107" s="373">
        <v>208</v>
      </c>
      <c r="BF107" s="373">
        <v>197</v>
      </c>
      <c r="BG107" s="373">
        <v>261</v>
      </c>
      <c r="BH107" s="373">
        <v>219</v>
      </c>
      <c r="BI107" s="373">
        <v>185</v>
      </c>
      <c r="BJ107" s="373">
        <v>146</v>
      </c>
      <c r="BK107" s="373">
        <v>85</v>
      </c>
      <c r="BL107" s="373">
        <v>104</v>
      </c>
      <c r="BM107" s="373">
        <v>1</v>
      </c>
      <c r="BO107" s="373">
        <v>3367</v>
      </c>
      <c r="BP107" s="373">
        <v>20</v>
      </c>
      <c r="BQ107" s="373">
        <v>27</v>
      </c>
      <c r="BR107" s="373">
        <v>25</v>
      </c>
      <c r="BS107" s="373">
        <v>22</v>
      </c>
      <c r="BT107" s="373">
        <v>46</v>
      </c>
      <c r="BU107" s="373">
        <v>31</v>
      </c>
      <c r="BV107" s="373">
        <v>35</v>
      </c>
      <c r="BW107" s="373">
        <v>35</v>
      </c>
      <c r="BX107" s="373">
        <v>50</v>
      </c>
      <c r="BY107" s="373">
        <v>47</v>
      </c>
      <c r="BZ107" s="373">
        <v>38</v>
      </c>
      <c r="CA107" s="373">
        <v>39</v>
      </c>
      <c r="CB107" s="373">
        <v>48</v>
      </c>
      <c r="CC107" s="373">
        <v>40</v>
      </c>
      <c r="CD107" s="373">
        <v>38</v>
      </c>
      <c r="CE107" s="373">
        <v>208</v>
      </c>
      <c r="CF107" s="373">
        <v>207</v>
      </c>
      <c r="CG107" s="373">
        <v>243</v>
      </c>
      <c r="CH107" s="373">
        <v>249</v>
      </c>
      <c r="CI107" s="373">
        <v>237</v>
      </c>
      <c r="CJ107" s="373">
        <v>213</v>
      </c>
      <c r="CK107" s="373">
        <v>223</v>
      </c>
      <c r="CL107" s="373">
        <v>202</v>
      </c>
      <c r="CM107" s="373">
        <v>242</v>
      </c>
      <c r="CN107" s="373">
        <v>211</v>
      </c>
      <c r="CO107" s="373">
        <v>225</v>
      </c>
      <c r="CP107" s="373">
        <v>136</v>
      </c>
      <c r="CQ107" s="373">
        <v>108</v>
      </c>
      <c r="CR107" s="373">
        <v>121</v>
      </c>
      <c r="CS107" s="373">
        <v>1</v>
      </c>
    </row>
    <row r="108" spans="2:97" hidden="1" x14ac:dyDescent="0.2">
      <c r="B108" s="369"/>
      <c r="C108" s="370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I108" s="370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O108" s="370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</row>
    <row r="109" spans="2:97" hidden="1" x14ac:dyDescent="0.2">
      <c r="B109" s="369" t="s">
        <v>295</v>
      </c>
      <c r="C109" s="370">
        <v>4694</v>
      </c>
      <c r="D109" s="371">
        <v>18</v>
      </c>
      <c r="E109" s="371">
        <v>46</v>
      </c>
      <c r="F109" s="371">
        <v>30</v>
      </c>
      <c r="G109" s="371">
        <v>50</v>
      </c>
      <c r="H109" s="371">
        <v>48</v>
      </c>
      <c r="I109" s="371">
        <v>47</v>
      </c>
      <c r="J109" s="371">
        <v>51</v>
      </c>
      <c r="K109" s="371">
        <v>60</v>
      </c>
      <c r="L109" s="371">
        <v>58</v>
      </c>
      <c r="M109" s="371">
        <v>70</v>
      </c>
      <c r="N109" s="371">
        <v>51</v>
      </c>
      <c r="O109" s="371">
        <v>63</v>
      </c>
      <c r="P109" s="371">
        <v>50</v>
      </c>
      <c r="Q109" s="371">
        <v>55</v>
      </c>
      <c r="R109" s="371">
        <v>51</v>
      </c>
      <c r="S109" s="371">
        <v>215</v>
      </c>
      <c r="T109" s="371">
        <v>305</v>
      </c>
      <c r="U109" s="371">
        <v>343</v>
      </c>
      <c r="V109" s="371">
        <v>410</v>
      </c>
      <c r="W109" s="371">
        <v>342</v>
      </c>
      <c r="X109" s="371">
        <v>312</v>
      </c>
      <c r="Y109" s="371">
        <v>288</v>
      </c>
      <c r="Z109" s="371">
        <v>287</v>
      </c>
      <c r="AA109" s="371">
        <v>333</v>
      </c>
      <c r="AB109" s="371">
        <v>359</v>
      </c>
      <c r="AC109" s="371">
        <v>262</v>
      </c>
      <c r="AD109" s="371">
        <v>165</v>
      </c>
      <c r="AE109" s="371">
        <v>141</v>
      </c>
      <c r="AF109" s="371">
        <v>179</v>
      </c>
      <c r="AG109" s="371">
        <v>5</v>
      </c>
      <c r="AI109" s="370">
        <v>2292</v>
      </c>
      <c r="AJ109" s="371">
        <v>9</v>
      </c>
      <c r="AK109" s="371">
        <v>25</v>
      </c>
      <c r="AL109" s="371">
        <v>17</v>
      </c>
      <c r="AM109" s="371">
        <v>18</v>
      </c>
      <c r="AN109" s="371">
        <v>29</v>
      </c>
      <c r="AO109" s="371">
        <v>29</v>
      </c>
      <c r="AP109" s="371">
        <v>22</v>
      </c>
      <c r="AQ109" s="371">
        <v>24</v>
      </c>
      <c r="AR109" s="371">
        <v>29</v>
      </c>
      <c r="AS109" s="371">
        <v>33</v>
      </c>
      <c r="AT109" s="371">
        <v>32</v>
      </c>
      <c r="AU109" s="371">
        <v>24</v>
      </c>
      <c r="AV109" s="371">
        <v>23</v>
      </c>
      <c r="AW109" s="371">
        <v>25</v>
      </c>
      <c r="AX109" s="371">
        <v>18</v>
      </c>
      <c r="AY109" s="371">
        <v>107</v>
      </c>
      <c r="AZ109" s="371">
        <v>166</v>
      </c>
      <c r="BA109" s="371">
        <v>175</v>
      </c>
      <c r="BB109" s="371">
        <v>203</v>
      </c>
      <c r="BC109" s="371">
        <v>165</v>
      </c>
      <c r="BD109" s="371">
        <v>147</v>
      </c>
      <c r="BE109" s="371">
        <v>133</v>
      </c>
      <c r="BF109" s="371">
        <v>143</v>
      </c>
      <c r="BG109" s="371">
        <v>173</v>
      </c>
      <c r="BH109" s="371">
        <v>196</v>
      </c>
      <c r="BI109" s="371">
        <v>118</v>
      </c>
      <c r="BJ109" s="371">
        <v>70</v>
      </c>
      <c r="BK109" s="371">
        <v>66</v>
      </c>
      <c r="BL109" s="371">
        <v>72</v>
      </c>
      <c r="BM109" s="371">
        <v>1</v>
      </c>
      <c r="BO109" s="370">
        <v>2402</v>
      </c>
      <c r="BP109" s="371">
        <v>9</v>
      </c>
      <c r="BQ109" s="371">
        <v>21</v>
      </c>
      <c r="BR109" s="371">
        <v>13</v>
      </c>
      <c r="BS109" s="371">
        <v>32</v>
      </c>
      <c r="BT109" s="371">
        <v>19</v>
      </c>
      <c r="BU109" s="371">
        <v>18</v>
      </c>
      <c r="BV109" s="371">
        <v>29</v>
      </c>
      <c r="BW109" s="371">
        <v>36</v>
      </c>
      <c r="BX109" s="371">
        <v>29</v>
      </c>
      <c r="BY109" s="371">
        <v>37</v>
      </c>
      <c r="BZ109" s="371">
        <v>19</v>
      </c>
      <c r="CA109" s="371">
        <v>39</v>
      </c>
      <c r="CB109" s="371">
        <v>27</v>
      </c>
      <c r="CC109" s="371">
        <v>30</v>
      </c>
      <c r="CD109" s="371">
        <v>33</v>
      </c>
      <c r="CE109" s="371">
        <v>108</v>
      </c>
      <c r="CF109" s="371">
        <v>139</v>
      </c>
      <c r="CG109" s="371">
        <v>168</v>
      </c>
      <c r="CH109" s="371">
        <v>207</v>
      </c>
      <c r="CI109" s="371">
        <v>177</v>
      </c>
      <c r="CJ109" s="371">
        <v>165</v>
      </c>
      <c r="CK109" s="371">
        <v>155</v>
      </c>
      <c r="CL109" s="371">
        <v>144</v>
      </c>
      <c r="CM109" s="371">
        <v>160</v>
      </c>
      <c r="CN109" s="371">
        <v>163</v>
      </c>
      <c r="CO109" s="371">
        <v>144</v>
      </c>
      <c r="CP109" s="371">
        <v>95</v>
      </c>
      <c r="CQ109" s="371">
        <v>75</v>
      </c>
      <c r="CR109" s="371">
        <v>107</v>
      </c>
      <c r="CS109" s="371">
        <v>4</v>
      </c>
    </row>
    <row r="110" spans="2:97" hidden="1" x14ac:dyDescent="0.2">
      <c r="B110" s="369" t="s">
        <v>296</v>
      </c>
      <c r="C110" s="370">
        <v>4490</v>
      </c>
      <c r="D110" s="371">
        <v>49</v>
      </c>
      <c r="E110" s="371">
        <v>47</v>
      </c>
      <c r="F110" s="371">
        <v>43</v>
      </c>
      <c r="G110" s="371">
        <v>63</v>
      </c>
      <c r="H110" s="371">
        <v>60</v>
      </c>
      <c r="I110" s="371">
        <v>47</v>
      </c>
      <c r="J110" s="371">
        <v>65</v>
      </c>
      <c r="K110" s="371">
        <v>54</v>
      </c>
      <c r="L110" s="371">
        <v>68</v>
      </c>
      <c r="M110" s="371">
        <v>76</v>
      </c>
      <c r="N110" s="371">
        <v>64</v>
      </c>
      <c r="O110" s="371">
        <v>64</v>
      </c>
      <c r="P110" s="371">
        <v>69</v>
      </c>
      <c r="Q110" s="371">
        <v>55</v>
      </c>
      <c r="R110" s="371">
        <v>77</v>
      </c>
      <c r="S110" s="371">
        <v>264</v>
      </c>
      <c r="T110" s="371">
        <v>276</v>
      </c>
      <c r="U110" s="371">
        <v>326</v>
      </c>
      <c r="V110" s="371">
        <v>349</v>
      </c>
      <c r="W110" s="371">
        <v>296</v>
      </c>
      <c r="X110" s="371">
        <v>320</v>
      </c>
      <c r="Y110" s="371">
        <v>286</v>
      </c>
      <c r="Z110" s="371">
        <v>249</v>
      </c>
      <c r="AA110" s="371">
        <v>269</v>
      </c>
      <c r="AB110" s="371">
        <v>273</v>
      </c>
      <c r="AC110" s="371">
        <v>206</v>
      </c>
      <c r="AD110" s="371">
        <v>191</v>
      </c>
      <c r="AE110" s="371">
        <v>129</v>
      </c>
      <c r="AF110" s="371">
        <v>153</v>
      </c>
      <c r="AG110" s="371">
        <v>2</v>
      </c>
      <c r="AI110" s="370">
        <v>2142</v>
      </c>
      <c r="AJ110" s="371">
        <v>23</v>
      </c>
      <c r="AK110" s="371">
        <v>20</v>
      </c>
      <c r="AL110" s="371">
        <v>18</v>
      </c>
      <c r="AM110" s="371">
        <v>39</v>
      </c>
      <c r="AN110" s="371">
        <v>29</v>
      </c>
      <c r="AO110" s="371">
        <v>18</v>
      </c>
      <c r="AP110" s="371">
        <v>31</v>
      </c>
      <c r="AQ110" s="371">
        <v>28</v>
      </c>
      <c r="AR110" s="371">
        <v>40</v>
      </c>
      <c r="AS110" s="371">
        <v>45</v>
      </c>
      <c r="AT110" s="371">
        <v>22</v>
      </c>
      <c r="AU110" s="371">
        <v>36</v>
      </c>
      <c r="AV110" s="371">
        <v>40</v>
      </c>
      <c r="AW110" s="371">
        <v>29</v>
      </c>
      <c r="AX110" s="371">
        <v>35</v>
      </c>
      <c r="AY110" s="371">
        <v>135</v>
      </c>
      <c r="AZ110" s="371">
        <v>138</v>
      </c>
      <c r="BA110" s="371">
        <v>157</v>
      </c>
      <c r="BB110" s="371">
        <v>160</v>
      </c>
      <c r="BC110" s="371">
        <v>138</v>
      </c>
      <c r="BD110" s="371">
        <v>150</v>
      </c>
      <c r="BE110" s="371">
        <v>124</v>
      </c>
      <c r="BF110" s="371">
        <v>113</v>
      </c>
      <c r="BG110" s="371">
        <v>121</v>
      </c>
      <c r="BH110" s="371">
        <v>135</v>
      </c>
      <c r="BI110" s="371">
        <v>96</v>
      </c>
      <c r="BJ110" s="371">
        <v>94</v>
      </c>
      <c r="BK110" s="371">
        <v>63</v>
      </c>
      <c r="BL110" s="371">
        <v>64</v>
      </c>
      <c r="BM110" s="371">
        <v>1</v>
      </c>
      <c r="BO110" s="370">
        <v>2348</v>
      </c>
      <c r="BP110" s="371">
        <v>26</v>
      </c>
      <c r="BQ110" s="371">
        <v>27</v>
      </c>
      <c r="BR110" s="371">
        <v>25</v>
      </c>
      <c r="BS110" s="371">
        <v>24</v>
      </c>
      <c r="BT110" s="371">
        <v>31</v>
      </c>
      <c r="BU110" s="371">
        <v>29</v>
      </c>
      <c r="BV110" s="371">
        <v>34</v>
      </c>
      <c r="BW110" s="371">
        <v>26</v>
      </c>
      <c r="BX110" s="371">
        <v>28</v>
      </c>
      <c r="BY110" s="371">
        <v>31</v>
      </c>
      <c r="BZ110" s="371">
        <v>42</v>
      </c>
      <c r="CA110" s="371">
        <v>28</v>
      </c>
      <c r="CB110" s="371">
        <v>29</v>
      </c>
      <c r="CC110" s="371">
        <v>26</v>
      </c>
      <c r="CD110" s="371">
        <v>42</v>
      </c>
      <c r="CE110" s="371">
        <v>129</v>
      </c>
      <c r="CF110" s="371">
        <v>138</v>
      </c>
      <c r="CG110" s="371">
        <v>169</v>
      </c>
      <c r="CH110" s="371">
        <v>189</v>
      </c>
      <c r="CI110" s="371">
        <v>158</v>
      </c>
      <c r="CJ110" s="371">
        <v>170</v>
      </c>
      <c r="CK110" s="371">
        <v>162</v>
      </c>
      <c r="CL110" s="371">
        <v>136</v>
      </c>
      <c r="CM110" s="371">
        <v>148</v>
      </c>
      <c r="CN110" s="371">
        <v>138</v>
      </c>
      <c r="CO110" s="371">
        <v>110</v>
      </c>
      <c r="CP110" s="371">
        <v>97</v>
      </c>
      <c r="CQ110" s="371">
        <v>66</v>
      </c>
      <c r="CR110" s="371">
        <v>89</v>
      </c>
      <c r="CS110" s="371">
        <v>1</v>
      </c>
    </row>
    <row r="111" spans="2:97" hidden="1" x14ac:dyDescent="0.2">
      <c r="B111" s="372" t="s">
        <v>297</v>
      </c>
      <c r="C111" s="373">
        <v>9184</v>
      </c>
      <c r="D111" s="373">
        <v>67</v>
      </c>
      <c r="E111" s="373">
        <v>93</v>
      </c>
      <c r="F111" s="373">
        <v>73</v>
      </c>
      <c r="G111" s="373">
        <v>113</v>
      </c>
      <c r="H111" s="373">
        <v>108</v>
      </c>
      <c r="I111" s="373">
        <v>94</v>
      </c>
      <c r="J111" s="373">
        <v>116</v>
      </c>
      <c r="K111" s="373">
        <v>114</v>
      </c>
      <c r="L111" s="373">
        <v>126</v>
      </c>
      <c r="M111" s="373">
        <v>146</v>
      </c>
      <c r="N111" s="373">
        <v>115</v>
      </c>
      <c r="O111" s="373">
        <v>127</v>
      </c>
      <c r="P111" s="373">
        <v>119</v>
      </c>
      <c r="Q111" s="373">
        <v>110</v>
      </c>
      <c r="R111" s="373">
        <v>128</v>
      </c>
      <c r="S111" s="373">
        <v>479</v>
      </c>
      <c r="T111" s="373">
        <v>581</v>
      </c>
      <c r="U111" s="373">
        <v>669</v>
      </c>
      <c r="V111" s="373">
        <v>759</v>
      </c>
      <c r="W111" s="373">
        <v>638</v>
      </c>
      <c r="X111" s="373">
        <v>632</v>
      </c>
      <c r="Y111" s="373">
        <v>574</v>
      </c>
      <c r="Z111" s="373">
        <v>536</v>
      </c>
      <c r="AA111" s="373">
        <v>602</v>
      </c>
      <c r="AB111" s="373">
        <v>632</v>
      </c>
      <c r="AC111" s="373">
        <v>468</v>
      </c>
      <c r="AD111" s="373">
        <v>356</v>
      </c>
      <c r="AE111" s="373">
        <v>270</v>
      </c>
      <c r="AF111" s="373">
        <v>332</v>
      </c>
      <c r="AG111" s="373">
        <v>7</v>
      </c>
      <c r="AI111" s="373">
        <v>4434</v>
      </c>
      <c r="AJ111" s="373">
        <v>32</v>
      </c>
      <c r="AK111" s="373">
        <v>45</v>
      </c>
      <c r="AL111" s="373">
        <v>35</v>
      </c>
      <c r="AM111" s="373">
        <v>57</v>
      </c>
      <c r="AN111" s="373">
        <v>58</v>
      </c>
      <c r="AO111" s="373">
        <v>47</v>
      </c>
      <c r="AP111" s="373">
        <v>53</v>
      </c>
      <c r="AQ111" s="373">
        <v>52</v>
      </c>
      <c r="AR111" s="373">
        <v>69</v>
      </c>
      <c r="AS111" s="373">
        <v>78</v>
      </c>
      <c r="AT111" s="373">
        <v>54</v>
      </c>
      <c r="AU111" s="373">
        <v>60</v>
      </c>
      <c r="AV111" s="373">
        <v>63</v>
      </c>
      <c r="AW111" s="373">
        <v>54</v>
      </c>
      <c r="AX111" s="373">
        <v>53</v>
      </c>
      <c r="AY111" s="373">
        <v>242</v>
      </c>
      <c r="AZ111" s="373">
        <v>304</v>
      </c>
      <c r="BA111" s="373">
        <v>332</v>
      </c>
      <c r="BB111" s="373">
        <v>363</v>
      </c>
      <c r="BC111" s="373">
        <v>303</v>
      </c>
      <c r="BD111" s="373">
        <v>297</v>
      </c>
      <c r="BE111" s="373">
        <v>257</v>
      </c>
      <c r="BF111" s="373">
        <v>256</v>
      </c>
      <c r="BG111" s="373">
        <v>294</v>
      </c>
      <c r="BH111" s="373">
        <v>331</v>
      </c>
      <c r="BI111" s="373">
        <v>214</v>
      </c>
      <c r="BJ111" s="373">
        <v>164</v>
      </c>
      <c r="BK111" s="373">
        <v>129</v>
      </c>
      <c r="BL111" s="373">
        <v>136</v>
      </c>
      <c r="BM111" s="373">
        <v>2</v>
      </c>
      <c r="BO111" s="373">
        <v>4750</v>
      </c>
      <c r="BP111" s="373">
        <v>35</v>
      </c>
      <c r="BQ111" s="373">
        <v>48</v>
      </c>
      <c r="BR111" s="373">
        <v>38</v>
      </c>
      <c r="BS111" s="373">
        <v>56</v>
      </c>
      <c r="BT111" s="373">
        <v>50</v>
      </c>
      <c r="BU111" s="373">
        <v>47</v>
      </c>
      <c r="BV111" s="373">
        <v>63</v>
      </c>
      <c r="BW111" s="373">
        <v>62</v>
      </c>
      <c r="BX111" s="373">
        <v>57</v>
      </c>
      <c r="BY111" s="373">
        <v>68</v>
      </c>
      <c r="BZ111" s="373">
        <v>61</v>
      </c>
      <c r="CA111" s="373">
        <v>67</v>
      </c>
      <c r="CB111" s="373">
        <v>56</v>
      </c>
      <c r="CC111" s="373">
        <v>56</v>
      </c>
      <c r="CD111" s="373">
        <v>75</v>
      </c>
      <c r="CE111" s="373">
        <v>237</v>
      </c>
      <c r="CF111" s="373">
        <v>277</v>
      </c>
      <c r="CG111" s="373">
        <v>337</v>
      </c>
      <c r="CH111" s="373">
        <v>396</v>
      </c>
      <c r="CI111" s="373">
        <v>335</v>
      </c>
      <c r="CJ111" s="373">
        <v>335</v>
      </c>
      <c r="CK111" s="373">
        <v>317</v>
      </c>
      <c r="CL111" s="373">
        <v>280</v>
      </c>
      <c r="CM111" s="373">
        <v>308</v>
      </c>
      <c r="CN111" s="373">
        <v>301</v>
      </c>
      <c r="CO111" s="373">
        <v>254</v>
      </c>
      <c r="CP111" s="373">
        <v>192</v>
      </c>
      <c r="CQ111" s="373">
        <v>141</v>
      </c>
      <c r="CR111" s="373">
        <v>196</v>
      </c>
      <c r="CS111" s="373">
        <v>5</v>
      </c>
    </row>
    <row r="112" spans="2:97" hidden="1" x14ac:dyDescent="0.2">
      <c r="B112" s="369"/>
      <c r="C112" s="370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I112" s="370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O112" s="370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</row>
    <row r="113" spans="2:97" hidden="1" x14ac:dyDescent="0.2">
      <c r="B113" s="369" t="s">
        <v>298</v>
      </c>
      <c r="C113" s="370">
        <v>12775.933500000001</v>
      </c>
      <c r="D113" s="371">
        <v>145.87350000000001</v>
      </c>
      <c r="E113" s="371">
        <v>144.64250000000001</v>
      </c>
      <c r="F113" s="371">
        <v>145.25800000000001</v>
      </c>
      <c r="G113" s="371">
        <v>146.48900000000003</v>
      </c>
      <c r="H113" s="371">
        <v>149.56650000000002</v>
      </c>
      <c r="I113" s="371">
        <v>152.64400000000001</v>
      </c>
      <c r="J113" s="371">
        <v>158.79900000000004</v>
      </c>
      <c r="K113" s="371">
        <v>169.26250000000002</v>
      </c>
      <c r="L113" s="371">
        <v>188.95850000000002</v>
      </c>
      <c r="M113" s="371">
        <v>195.11349999999999</v>
      </c>
      <c r="N113" s="371">
        <v>193.88250000000002</v>
      </c>
      <c r="O113" s="371">
        <v>191.4205</v>
      </c>
      <c r="P113" s="371">
        <v>196.96</v>
      </c>
      <c r="Q113" s="371">
        <v>190.80500000000001</v>
      </c>
      <c r="R113" s="371">
        <v>190.80500000000001</v>
      </c>
      <c r="S113" s="371">
        <v>789.07100000000003</v>
      </c>
      <c r="T113" s="371">
        <v>683.20500000000004</v>
      </c>
      <c r="U113" s="371">
        <v>845.08150000000001</v>
      </c>
      <c r="V113" s="371">
        <v>968.18150000000014</v>
      </c>
      <c r="W113" s="371">
        <v>899.24549999999999</v>
      </c>
      <c r="X113" s="371">
        <v>888.16650000000004</v>
      </c>
      <c r="Y113" s="371">
        <v>859.85350000000005</v>
      </c>
      <c r="Z113" s="371">
        <v>796.45700000000011</v>
      </c>
      <c r="AA113" s="371">
        <v>782.30050000000006</v>
      </c>
      <c r="AB113" s="371">
        <v>765.06650000000002</v>
      </c>
      <c r="AC113" s="371">
        <v>632.11850000000004</v>
      </c>
      <c r="AD113" s="371">
        <v>491.78450000000009</v>
      </c>
      <c r="AE113" s="371">
        <v>363.14500000000004</v>
      </c>
      <c r="AF113" s="371">
        <v>451.77700000000004</v>
      </c>
      <c r="AG113" s="371">
        <v>0</v>
      </c>
      <c r="AI113" s="370">
        <v>6284.8705000000018</v>
      </c>
      <c r="AJ113" s="371">
        <v>73.86</v>
      </c>
      <c r="AK113" s="371">
        <v>73.244500000000002</v>
      </c>
      <c r="AL113" s="371">
        <v>72.629000000000005</v>
      </c>
      <c r="AM113" s="371">
        <v>75.091000000000008</v>
      </c>
      <c r="AN113" s="371">
        <v>76.9375</v>
      </c>
      <c r="AO113" s="371">
        <v>79.399500000000003</v>
      </c>
      <c r="AP113" s="371">
        <v>81.246000000000009</v>
      </c>
      <c r="AQ113" s="371">
        <v>85.554500000000004</v>
      </c>
      <c r="AR113" s="371">
        <v>94.171500000000009</v>
      </c>
      <c r="AS113" s="371">
        <v>96.018000000000001</v>
      </c>
      <c r="AT113" s="371">
        <v>94.171500000000009</v>
      </c>
      <c r="AU113" s="371">
        <v>94.171500000000009</v>
      </c>
      <c r="AV113" s="371">
        <v>97.864500000000007</v>
      </c>
      <c r="AW113" s="371">
        <v>94.787000000000006</v>
      </c>
      <c r="AX113" s="371">
        <v>92.9405</v>
      </c>
      <c r="AY113" s="371">
        <v>393.30450000000002</v>
      </c>
      <c r="AZ113" s="371">
        <v>337.29400000000004</v>
      </c>
      <c r="BA113" s="371">
        <v>407.46100000000001</v>
      </c>
      <c r="BB113" s="371">
        <v>467.78000000000003</v>
      </c>
      <c r="BC113" s="371">
        <v>453.00800000000004</v>
      </c>
      <c r="BD113" s="371">
        <v>430.23450000000003</v>
      </c>
      <c r="BE113" s="371">
        <v>404.38350000000003</v>
      </c>
      <c r="BF113" s="371">
        <v>402.53700000000003</v>
      </c>
      <c r="BG113" s="371">
        <v>383.45650000000001</v>
      </c>
      <c r="BH113" s="371">
        <v>383.45650000000001</v>
      </c>
      <c r="BI113" s="371">
        <v>318.82900000000001</v>
      </c>
      <c r="BJ113" s="371">
        <v>259.12550000000005</v>
      </c>
      <c r="BK113" s="371">
        <v>175.41750000000002</v>
      </c>
      <c r="BL113" s="371">
        <v>186.49650000000003</v>
      </c>
      <c r="BM113" s="371">
        <v>0</v>
      </c>
      <c r="BO113" s="370">
        <v>6491.0630000000001</v>
      </c>
      <c r="BP113" s="371">
        <v>72.013500000000008</v>
      </c>
      <c r="BQ113" s="371">
        <v>71.39800000000001</v>
      </c>
      <c r="BR113" s="371">
        <v>72.629000000000005</v>
      </c>
      <c r="BS113" s="371">
        <v>71.39800000000001</v>
      </c>
      <c r="BT113" s="371">
        <v>72.629000000000005</v>
      </c>
      <c r="BU113" s="371">
        <v>73.244500000000002</v>
      </c>
      <c r="BV113" s="371">
        <v>77.553000000000011</v>
      </c>
      <c r="BW113" s="371">
        <v>83.708000000000013</v>
      </c>
      <c r="BX113" s="371">
        <v>94.787000000000006</v>
      </c>
      <c r="BY113" s="371">
        <v>99.095500000000001</v>
      </c>
      <c r="BZ113" s="371">
        <v>99.711000000000013</v>
      </c>
      <c r="CA113" s="371">
        <v>97.249000000000009</v>
      </c>
      <c r="CB113" s="371">
        <v>99.095500000000001</v>
      </c>
      <c r="CC113" s="371">
        <v>96.018000000000001</v>
      </c>
      <c r="CD113" s="371">
        <v>97.864500000000007</v>
      </c>
      <c r="CE113" s="371">
        <v>395.76650000000001</v>
      </c>
      <c r="CF113" s="371">
        <v>345.911</v>
      </c>
      <c r="CG113" s="371">
        <v>437.62050000000005</v>
      </c>
      <c r="CH113" s="371">
        <v>500.40150000000006</v>
      </c>
      <c r="CI113" s="371">
        <v>446.23750000000001</v>
      </c>
      <c r="CJ113" s="371">
        <v>457.93200000000002</v>
      </c>
      <c r="CK113" s="371">
        <v>455.47</v>
      </c>
      <c r="CL113" s="371">
        <v>393.92</v>
      </c>
      <c r="CM113" s="371">
        <v>398.84400000000005</v>
      </c>
      <c r="CN113" s="371">
        <v>381.61</v>
      </c>
      <c r="CO113" s="371">
        <v>313.28950000000003</v>
      </c>
      <c r="CP113" s="371">
        <v>232.65900000000002</v>
      </c>
      <c r="CQ113" s="371">
        <v>187.72750000000002</v>
      </c>
      <c r="CR113" s="371">
        <v>265.28050000000002</v>
      </c>
      <c r="CS113" s="371">
        <v>0</v>
      </c>
    </row>
    <row r="114" spans="2:97" hidden="1" x14ac:dyDescent="0.2">
      <c r="B114" s="369" t="s">
        <v>299</v>
      </c>
      <c r="C114" s="370">
        <v>1907.1999999999996</v>
      </c>
      <c r="D114" s="371">
        <v>8.7040000000000006</v>
      </c>
      <c r="E114" s="371">
        <v>12.544</v>
      </c>
      <c r="F114" s="371">
        <v>13.056000000000001</v>
      </c>
      <c r="G114" s="371">
        <v>17.408000000000001</v>
      </c>
      <c r="H114" s="371">
        <v>21.759999999999998</v>
      </c>
      <c r="I114" s="371">
        <v>15.104000000000001</v>
      </c>
      <c r="J114" s="371">
        <v>18.943999999999999</v>
      </c>
      <c r="K114" s="371">
        <v>21.759999999999998</v>
      </c>
      <c r="L114" s="371">
        <v>18.688000000000002</v>
      </c>
      <c r="M114" s="371">
        <v>22.271999999999998</v>
      </c>
      <c r="N114" s="371">
        <v>21.503999999999998</v>
      </c>
      <c r="O114" s="371">
        <v>19.456</v>
      </c>
      <c r="P114" s="371">
        <v>26.112000000000002</v>
      </c>
      <c r="Q114" s="371">
        <v>25.856000000000002</v>
      </c>
      <c r="R114" s="371">
        <v>24.576000000000001</v>
      </c>
      <c r="S114" s="371">
        <v>138.49600000000001</v>
      </c>
      <c r="T114" s="371">
        <v>122.88</v>
      </c>
      <c r="U114" s="371">
        <v>131.84</v>
      </c>
      <c r="V114" s="371">
        <v>139.26400000000001</v>
      </c>
      <c r="W114" s="371">
        <v>133.63200000000001</v>
      </c>
      <c r="X114" s="371">
        <v>144.38400000000001</v>
      </c>
      <c r="Y114" s="371">
        <v>123.648</v>
      </c>
      <c r="Z114" s="371">
        <v>125.696</v>
      </c>
      <c r="AA114" s="371">
        <v>138.75200000000001</v>
      </c>
      <c r="AB114" s="371">
        <v>123.648</v>
      </c>
      <c r="AC114" s="371">
        <v>97.792000000000002</v>
      </c>
      <c r="AD114" s="371">
        <v>75.007999999999996</v>
      </c>
      <c r="AE114" s="371">
        <v>49.664000000000001</v>
      </c>
      <c r="AF114" s="371">
        <v>74.240000000000009</v>
      </c>
      <c r="AG114" s="371">
        <v>0.51200000000000001</v>
      </c>
      <c r="AI114" s="370">
        <v>964.86400000000003</v>
      </c>
      <c r="AJ114" s="371">
        <v>3.84</v>
      </c>
      <c r="AK114" s="371">
        <v>5.8879999999999999</v>
      </c>
      <c r="AL114" s="371">
        <v>6.1440000000000001</v>
      </c>
      <c r="AM114" s="371">
        <v>9.2160000000000011</v>
      </c>
      <c r="AN114" s="371">
        <v>11.776</v>
      </c>
      <c r="AO114" s="371">
        <v>8.9600000000000009</v>
      </c>
      <c r="AP114" s="371">
        <v>9.4719999999999995</v>
      </c>
      <c r="AQ114" s="371">
        <v>9.984</v>
      </c>
      <c r="AR114" s="371">
        <v>8.7040000000000006</v>
      </c>
      <c r="AS114" s="371">
        <v>11.008000000000001</v>
      </c>
      <c r="AT114" s="371">
        <v>11.263999999999999</v>
      </c>
      <c r="AU114" s="371">
        <v>11.52</v>
      </c>
      <c r="AV114" s="371">
        <v>13.056000000000001</v>
      </c>
      <c r="AW114" s="371">
        <v>14.336</v>
      </c>
      <c r="AX114" s="371">
        <v>12.288</v>
      </c>
      <c r="AY114" s="371">
        <v>67.84</v>
      </c>
      <c r="AZ114" s="371">
        <v>66.048000000000002</v>
      </c>
      <c r="BA114" s="371">
        <v>66.816000000000003</v>
      </c>
      <c r="BB114" s="371">
        <v>65.536000000000001</v>
      </c>
      <c r="BC114" s="371">
        <v>66.048000000000002</v>
      </c>
      <c r="BD114" s="371">
        <v>68.096000000000004</v>
      </c>
      <c r="BE114" s="371">
        <v>60.160000000000004</v>
      </c>
      <c r="BF114" s="371">
        <v>61.695999999999998</v>
      </c>
      <c r="BG114" s="371">
        <v>72.448000000000008</v>
      </c>
      <c r="BH114" s="371">
        <v>65.024000000000001</v>
      </c>
      <c r="BI114" s="371">
        <v>53.76</v>
      </c>
      <c r="BJ114" s="371">
        <v>37.631999999999998</v>
      </c>
      <c r="BK114" s="371">
        <v>29.696000000000002</v>
      </c>
      <c r="BL114" s="371">
        <v>36.096000000000004</v>
      </c>
      <c r="BM114" s="371">
        <v>0.51200000000000001</v>
      </c>
      <c r="BO114" s="370">
        <v>942.3359999999999</v>
      </c>
      <c r="BP114" s="371">
        <v>4.8639999999999999</v>
      </c>
      <c r="BQ114" s="371">
        <v>6.6560000000000006</v>
      </c>
      <c r="BR114" s="371">
        <v>6.9119999999999999</v>
      </c>
      <c r="BS114" s="371">
        <v>8.1920000000000002</v>
      </c>
      <c r="BT114" s="371">
        <v>9.984</v>
      </c>
      <c r="BU114" s="371">
        <v>6.1440000000000001</v>
      </c>
      <c r="BV114" s="371">
        <v>9.4719999999999995</v>
      </c>
      <c r="BW114" s="371">
        <v>11.776</v>
      </c>
      <c r="BX114" s="371">
        <v>9.984</v>
      </c>
      <c r="BY114" s="371">
        <v>11.263999999999999</v>
      </c>
      <c r="BZ114" s="371">
        <v>10.24</v>
      </c>
      <c r="CA114" s="371">
        <v>7.9359999999999999</v>
      </c>
      <c r="CB114" s="371">
        <v>13.056000000000001</v>
      </c>
      <c r="CC114" s="371">
        <v>11.52</v>
      </c>
      <c r="CD114" s="371">
        <v>12.288</v>
      </c>
      <c r="CE114" s="371">
        <v>70.656000000000006</v>
      </c>
      <c r="CF114" s="371">
        <v>56.832000000000001</v>
      </c>
      <c r="CG114" s="371">
        <v>65.024000000000001</v>
      </c>
      <c r="CH114" s="371">
        <v>73.728000000000009</v>
      </c>
      <c r="CI114" s="371">
        <v>67.584000000000003</v>
      </c>
      <c r="CJ114" s="371">
        <v>76.287999999999997</v>
      </c>
      <c r="CK114" s="371">
        <v>63.488</v>
      </c>
      <c r="CL114" s="371">
        <v>64</v>
      </c>
      <c r="CM114" s="371">
        <v>66.304000000000002</v>
      </c>
      <c r="CN114" s="371">
        <v>58.624000000000002</v>
      </c>
      <c r="CO114" s="371">
        <v>44.032000000000004</v>
      </c>
      <c r="CP114" s="371">
        <v>37.375999999999998</v>
      </c>
      <c r="CQ114" s="371">
        <v>19.968</v>
      </c>
      <c r="CR114" s="371">
        <v>38.143999999999998</v>
      </c>
      <c r="CS114" s="371">
        <v>0</v>
      </c>
    </row>
    <row r="115" spans="2:97" hidden="1" x14ac:dyDescent="0.2">
      <c r="B115" s="369" t="s">
        <v>300</v>
      </c>
      <c r="C115" s="370">
        <v>3501.4999999999991</v>
      </c>
      <c r="D115" s="371">
        <v>15.98</v>
      </c>
      <c r="E115" s="371">
        <v>23.029999999999998</v>
      </c>
      <c r="F115" s="371">
        <v>23.97</v>
      </c>
      <c r="G115" s="371">
        <v>31.959999999999997</v>
      </c>
      <c r="H115" s="371">
        <v>39.949999999999996</v>
      </c>
      <c r="I115" s="371">
        <v>27.729999999999997</v>
      </c>
      <c r="J115" s="371">
        <v>34.78</v>
      </c>
      <c r="K115" s="371">
        <v>39.949999999999996</v>
      </c>
      <c r="L115" s="371">
        <v>34.309999999999995</v>
      </c>
      <c r="M115" s="371">
        <v>40.89</v>
      </c>
      <c r="N115" s="371">
        <v>39.479999999999997</v>
      </c>
      <c r="O115" s="371">
        <v>35.72</v>
      </c>
      <c r="P115" s="371">
        <v>47.94</v>
      </c>
      <c r="Q115" s="371">
        <v>47.47</v>
      </c>
      <c r="R115" s="371">
        <v>45.12</v>
      </c>
      <c r="S115" s="371">
        <v>254.26999999999998</v>
      </c>
      <c r="T115" s="371">
        <v>225.59999999999997</v>
      </c>
      <c r="U115" s="371">
        <v>242.04999999999998</v>
      </c>
      <c r="V115" s="371">
        <v>255.67999999999998</v>
      </c>
      <c r="W115" s="371">
        <v>245.33999999999997</v>
      </c>
      <c r="X115" s="371">
        <v>265.08</v>
      </c>
      <c r="Y115" s="371">
        <v>227.01</v>
      </c>
      <c r="Z115" s="371">
        <v>230.76999999999998</v>
      </c>
      <c r="AA115" s="371">
        <v>254.73999999999998</v>
      </c>
      <c r="AB115" s="371">
        <v>227.01</v>
      </c>
      <c r="AC115" s="371">
        <v>179.53999999999996</v>
      </c>
      <c r="AD115" s="371">
        <v>137.70999999999998</v>
      </c>
      <c r="AE115" s="371">
        <v>91.179999999999993</v>
      </c>
      <c r="AF115" s="371">
        <v>136.30000000000001</v>
      </c>
      <c r="AG115" s="371">
        <v>0.94</v>
      </c>
      <c r="AI115" s="370">
        <v>1771.4299999999998</v>
      </c>
      <c r="AJ115" s="371">
        <v>7.05</v>
      </c>
      <c r="AK115" s="371">
        <v>10.809999999999999</v>
      </c>
      <c r="AL115" s="371">
        <v>11.28</v>
      </c>
      <c r="AM115" s="371">
        <v>16.919999999999998</v>
      </c>
      <c r="AN115" s="371">
        <v>21.619999999999997</v>
      </c>
      <c r="AO115" s="371">
        <v>16.45</v>
      </c>
      <c r="AP115" s="371">
        <v>17.39</v>
      </c>
      <c r="AQ115" s="371">
        <v>18.329999999999998</v>
      </c>
      <c r="AR115" s="371">
        <v>15.979999999999999</v>
      </c>
      <c r="AS115" s="371">
        <v>20.209999999999997</v>
      </c>
      <c r="AT115" s="371">
        <v>20.68</v>
      </c>
      <c r="AU115" s="371">
        <v>21.15</v>
      </c>
      <c r="AV115" s="371">
        <v>23.97</v>
      </c>
      <c r="AW115" s="371">
        <v>26.32</v>
      </c>
      <c r="AX115" s="371">
        <v>22.56</v>
      </c>
      <c r="AY115" s="371">
        <v>124.55</v>
      </c>
      <c r="AZ115" s="371">
        <v>121.25999999999999</v>
      </c>
      <c r="BA115" s="371">
        <v>122.66999999999999</v>
      </c>
      <c r="BB115" s="371">
        <v>120.32</v>
      </c>
      <c r="BC115" s="371">
        <v>121.25999999999999</v>
      </c>
      <c r="BD115" s="371">
        <v>125.02</v>
      </c>
      <c r="BE115" s="371">
        <v>110.44999999999999</v>
      </c>
      <c r="BF115" s="371">
        <v>113.27</v>
      </c>
      <c r="BG115" s="371">
        <v>133.01</v>
      </c>
      <c r="BH115" s="371">
        <v>119.38</v>
      </c>
      <c r="BI115" s="371">
        <v>98.699999999999989</v>
      </c>
      <c r="BJ115" s="371">
        <v>69.089999999999989</v>
      </c>
      <c r="BK115" s="371">
        <v>54.519999999999996</v>
      </c>
      <c r="BL115" s="371">
        <v>66.27</v>
      </c>
      <c r="BM115" s="371">
        <v>0.94</v>
      </c>
      <c r="BO115" s="370">
        <v>1730.07</v>
      </c>
      <c r="BP115" s="371">
        <v>8.93</v>
      </c>
      <c r="BQ115" s="371">
        <v>12.219999999999999</v>
      </c>
      <c r="BR115" s="371">
        <v>12.69</v>
      </c>
      <c r="BS115" s="371">
        <v>15.04</v>
      </c>
      <c r="BT115" s="371">
        <v>18.329999999999998</v>
      </c>
      <c r="BU115" s="371">
        <v>11.28</v>
      </c>
      <c r="BV115" s="371">
        <v>17.39</v>
      </c>
      <c r="BW115" s="371">
        <v>21.619999999999997</v>
      </c>
      <c r="BX115" s="371">
        <v>18.329999999999998</v>
      </c>
      <c r="BY115" s="371">
        <v>20.68</v>
      </c>
      <c r="BZ115" s="371">
        <v>18.799999999999997</v>
      </c>
      <c r="CA115" s="371">
        <v>14.569999999999999</v>
      </c>
      <c r="CB115" s="371">
        <v>23.97</v>
      </c>
      <c r="CC115" s="371">
        <v>21.15</v>
      </c>
      <c r="CD115" s="371">
        <v>22.56</v>
      </c>
      <c r="CE115" s="371">
        <v>129.72</v>
      </c>
      <c r="CF115" s="371">
        <v>104.33999999999999</v>
      </c>
      <c r="CG115" s="371">
        <v>119.38</v>
      </c>
      <c r="CH115" s="371">
        <v>135.35999999999999</v>
      </c>
      <c r="CI115" s="371">
        <v>124.08</v>
      </c>
      <c r="CJ115" s="371">
        <v>140.06</v>
      </c>
      <c r="CK115" s="371">
        <v>116.55999999999999</v>
      </c>
      <c r="CL115" s="371">
        <v>117.5</v>
      </c>
      <c r="CM115" s="371">
        <v>121.72999999999999</v>
      </c>
      <c r="CN115" s="371">
        <v>107.63</v>
      </c>
      <c r="CO115" s="371">
        <v>80.839999999999989</v>
      </c>
      <c r="CP115" s="371">
        <v>68.61999999999999</v>
      </c>
      <c r="CQ115" s="371">
        <v>36.659999999999997</v>
      </c>
      <c r="CR115" s="371">
        <v>70.03</v>
      </c>
      <c r="CS115" s="371">
        <v>0</v>
      </c>
    </row>
    <row r="116" spans="2:97" hidden="1" x14ac:dyDescent="0.2">
      <c r="B116" s="369" t="s">
        <v>301</v>
      </c>
      <c r="C116" s="370">
        <v>1512.3500000000004</v>
      </c>
      <c r="D116" s="371">
        <v>6.902000000000001</v>
      </c>
      <c r="E116" s="371">
        <v>9.947000000000001</v>
      </c>
      <c r="F116" s="371">
        <v>10.353000000000002</v>
      </c>
      <c r="G116" s="371">
        <v>13.804000000000002</v>
      </c>
      <c r="H116" s="371">
        <v>17.255000000000003</v>
      </c>
      <c r="I116" s="371">
        <v>11.977</v>
      </c>
      <c r="J116" s="371">
        <v>15.022</v>
      </c>
      <c r="K116" s="371">
        <v>17.255000000000003</v>
      </c>
      <c r="L116" s="371">
        <v>14.819000000000001</v>
      </c>
      <c r="M116" s="371">
        <v>17.661000000000001</v>
      </c>
      <c r="N116" s="371">
        <v>17.052</v>
      </c>
      <c r="O116" s="371">
        <v>15.428000000000001</v>
      </c>
      <c r="P116" s="371">
        <v>20.706000000000003</v>
      </c>
      <c r="Q116" s="371">
        <v>20.503</v>
      </c>
      <c r="R116" s="371">
        <v>19.488</v>
      </c>
      <c r="S116" s="371">
        <v>109.82300000000001</v>
      </c>
      <c r="T116" s="371">
        <v>97.44</v>
      </c>
      <c r="U116" s="371">
        <v>104.54500000000002</v>
      </c>
      <c r="V116" s="371">
        <v>110.43200000000002</v>
      </c>
      <c r="W116" s="371">
        <v>105.96600000000001</v>
      </c>
      <c r="X116" s="371">
        <v>114.49200000000002</v>
      </c>
      <c r="Y116" s="371">
        <v>98.049000000000007</v>
      </c>
      <c r="Z116" s="371">
        <v>99.673000000000002</v>
      </c>
      <c r="AA116" s="371">
        <v>110.02600000000001</v>
      </c>
      <c r="AB116" s="371">
        <v>98.049000000000007</v>
      </c>
      <c r="AC116" s="371">
        <v>77.546000000000006</v>
      </c>
      <c r="AD116" s="371">
        <v>59.478999999999999</v>
      </c>
      <c r="AE116" s="371">
        <v>39.382000000000005</v>
      </c>
      <c r="AF116" s="371">
        <v>58.870000000000005</v>
      </c>
      <c r="AG116" s="371">
        <v>0.40600000000000003</v>
      </c>
      <c r="AI116" s="370">
        <v>765.10699999999997</v>
      </c>
      <c r="AJ116" s="371">
        <v>3.0450000000000004</v>
      </c>
      <c r="AK116" s="371">
        <v>4.6690000000000005</v>
      </c>
      <c r="AL116" s="371">
        <v>4.8719999999999999</v>
      </c>
      <c r="AM116" s="371">
        <v>7.3080000000000007</v>
      </c>
      <c r="AN116" s="371">
        <v>9.338000000000001</v>
      </c>
      <c r="AO116" s="371">
        <v>7.1050000000000004</v>
      </c>
      <c r="AP116" s="371">
        <v>7.5110000000000001</v>
      </c>
      <c r="AQ116" s="371">
        <v>7.9170000000000007</v>
      </c>
      <c r="AR116" s="371">
        <v>6.9020000000000001</v>
      </c>
      <c r="AS116" s="371">
        <v>8.729000000000001</v>
      </c>
      <c r="AT116" s="371">
        <v>8.9320000000000004</v>
      </c>
      <c r="AU116" s="371">
        <v>9.1349999999999998</v>
      </c>
      <c r="AV116" s="371">
        <v>10.353000000000002</v>
      </c>
      <c r="AW116" s="371">
        <v>11.368</v>
      </c>
      <c r="AX116" s="371">
        <v>9.7439999999999998</v>
      </c>
      <c r="AY116" s="371">
        <v>53.795000000000002</v>
      </c>
      <c r="AZ116" s="371">
        <v>52.374000000000002</v>
      </c>
      <c r="BA116" s="371">
        <v>52.983000000000004</v>
      </c>
      <c r="BB116" s="371">
        <v>51.968000000000004</v>
      </c>
      <c r="BC116" s="371">
        <v>52.374000000000002</v>
      </c>
      <c r="BD116" s="371">
        <v>53.998000000000005</v>
      </c>
      <c r="BE116" s="371">
        <v>47.705000000000005</v>
      </c>
      <c r="BF116" s="371">
        <v>48.923000000000002</v>
      </c>
      <c r="BG116" s="371">
        <v>57.449000000000005</v>
      </c>
      <c r="BH116" s="371">
        <v>51.562000000000005</v>
      </c>
      <c r="BI116" s="371">
        <v>42.63</v>
      </c>
      <c r="BJ116" s="371">
        <v>29.841000000000001</v>
      </c>
      <c r="BK116" s="371">
        <v>23.548000000000002</v>
      </c>
      <c r="BL116" s="371">
        <v>28.623000000000001</v>
      </c>
      <c r="BM116" s="371">
        <v>0.40600000000000003</v>
      </c>
      <c r="BO116" s="370">
        <v>747.24300000000005</v>
      </c>
      <c r="BP116" s="371">
        <v>3.8570000000000002</v>
      </c>
      <c r="BQ116" s="371">
        <v>5.2780000000000005</v>
      </c>
      <c r="BR116" s="371">
        <v>5.4810000000000008</v>
      </c>
      <c r="BS116" s="371">
        <v>6.4960000000000004</v>
      </c>
      <c r="BT116" s="371">
        <v>7.9170000000000007</v>
      </c>
      <c r="BU116" s="371">
        <v>4.8719999999999999</v>
      </c>
      <c r="BV116" s="371">
        <v>7.5110000000000001</v>
      </c>
      <c r="BW116" s="371">
        <v>9.338000000000001</v>
      </c>
      <c r="BX116" s="371">
        <v>7.9170000000000007</v>
      </c>
      <c r="BY116" s="371">
        <v>8.9320000000000004</v>
      </c>
      <c r="BZ116" s="371">
        <v>8.120000000000001</v>
      </c>
      <c r="CA116" s="371">
        <v>6.2930000000000001</v>
      </c>
      <c r="CB116" s="371">
        <v>10.353000000000002</v>
      </c>
      <c r="CC116" s="371">
        <v>9.1349999999999998</v>
      </c>
      <c r="CD116" s="371">
        <v>9.7439999999999998</v>
      </c>
      <c r="CE116" s="371">
        <v>56.028000000000006</v>
      </c>
      <c r="CF116" s="371">
        <v>45.066000000000003</v>
      </c>
      <c r="CG116" s="371">
        <v>51.562000000000005</v>
      </c>
      <c r="CH116" s="371">
        <v>58.464000000000006</v>
      </c>
      <c r="CI116" s="371">
        <v>53.592000000000006</v>
      </c>
      <c r="CJ116" s="371">
        <v>60.494000000000007</v>
      </c>
      <c r="CK116" s="371">
        <v>50.344000000000001</v>
      </c>
      <c r="CL116" s="371">
        <v>50.75</v>
      </c>
      <c r="CM116" s="371">
        <v>52.577000000000005</v>
      </c>
      <c r="CN116" s="371">
        <v>46.487000000000002</v>
      </c>
      <c r="CO116" s="371">
        <v>34.916000000000004</v>
      </c>
      <c r="CP116" s="371">
        <v>29.638000000000002</v>
      </c>
      <c r="CQ116" s="371">
        <v>15.834000000000001</v>
      </c>
      <c r="CR116" s="371">
        <v>30.247000000000003</v>
      </c>
      <c r="CS116" s="371">
        <v>0</v>
      </c>
    </row>
    <row r="117" spans="2:97" hidden="1" x14ac:dyDescent="0.2">
      <c r="B117" s="369" t="s">
        <v>302</v>
      </c>
      <c r="C117" s="370">
        <v>528.95000000000005</v>
      </c>
      <c r="D117" s="371">
        <v>2.4139999999999997</v>
      </c>
      <c r="E117" s="371">
        <v>3.4789999999999996</v>
      </c>
      <c r="F117" s="371">
        <v>3.6209999999999996</v>
      </c>
      <c r="G117" s="371">
        <v>4.8279999999999994</v>
      </c>
      <c r="H117" s="371">
        <v>6.0349999999999993</v>
      </c>
      <c r="I117" s="371">
        <v>4.1890000000000001</v>
      </c>
      <c r="J117" s="371">
        <v>5.2539999999999996</v>
      </c>
      <c r="K117" s="371">
        <v>6.0349999999999993</v>
      </c>
      <c r="L117" s="371">
        <v>5.1829999999999998</v>
      </c>
      <c r="M117" s="371">
        <v>6.1769999999999996</v>
      </c>
      <c r="N117" s="371">
        <v>5.9639999999999995</v>
      </c>
      <c r="O117" s="371">
        <v>5.395999999999999</v>
      </c>
      <c r="P117" s="371">
        <v>7.2419999999999991</v>
      </c>
      <c r="Q117" s="371">
        <v>7.1709999999999994</v>
      </c>
      <c r="R117" s="371">
        <v>6.8159999999999989</v>
      </c>
      <c r="S117" s="371">
        <v>38.410999999999994</v>
      </c>
      <c r="T117" s="371">
        <v>34.08</v>
      </c>
      <c r="U117" s="371">
        <v>36.564999999999998</v>
      </c>
      <c r="V117" s="371">
        <v>38.623999999999995</v>
      </c>
      <c r="W117" s="371">
        <v>37.061999999999998</v>
      </c>
      <c r="X117" s="371">
        <v>40.043999999999997</v>
      </c>
      <c r="Y117" s="371">
        <v>34.292999999999992</v>
      </c>
      <c r="Z117" s="371">
        <v>34.860999999999997</v>
      </c>
      <c r="AA117" s="371">
        <v>38.481999999999999</v>
      </c>
      <c r="AB117" s="371">
        <v>34.292999999999992</v>
      </c>
      <c r="AC117" s="371">
        <v>27.122</v>
      </c>
      <c r="AD117" s="371">
        <v>20.802999999999997</v>
      </c>
      <c r="AE117" s="371">
        <v>13.773999999999997</v>
      </c>
      <c r="AF117" s="371">
        <v>20.589999999999996</v>
      </c>
      <c r="AG117" s="371">
        <v>0.14199999999999999</v>
      </c>
      <c r="AI117" s="370">
        <v>267.59899999999999</v>
      </c>
      <c r="AJ117" s="371">
        <v>1.0649999999999999</v>
      </c>
      <c r="AK117" s="371">
        <v>1.6329999999999998</v>
      </c>
      <c r="AL117" s="371">
        <v>1.7039999999999997</v>
      </c>
      <c r="AM117" s="371">
        <v>2.5559999999999996</v>
      </c>
      <c r="AN117" s="371">
        <v>3.2659999999999996</v>
      </c>
      <c r="AO117" s="371">
        <v>2.4849999999999999</v>
      </c>
      <c r="AP117" s="371">
        <v>2.6269999999999998</v>
      </c>
      <c r="AQ117" s="371">
        <v>2.7689999999999997</v>
      </c>
      <c r="AR117" s="371">
        <v>2.4139999999999997</v>
      </c>
      <c r="AS117" s="371">
        <v>3.0529999999999999</v>
      </c>
      <c r="AT117" s="371">
        <v>3.1239999999999997</v>
      </c>
      <c r="AU117" s="371">
        <v>3.1949999999999998</v>
      </c>
      <c r="AV117" s="371">
        <v>3.6209999999999996</v>
      </c>
      <c r="AW117" s="371">
        <v>3.9759999999999995</v>
      </c>
      <c r="AX117" s="371">
        <v>3.4079999999999995</v>
      </c>
      <c r="AY117" s="371">
        <v>18.814999999999998</v>
      </c>
      <c r="AZ117" s="371">
        <v>18.317999999999998</v>
      </c>
      <c r="BA117" s="371">
        <v>18.530999999999999</v>
      </c>
      <c r="BB117" s="371">
        <v>18.175999999999998</v>
      </c>
      <c r="BC117" s="371">
        <v>18.317999999999998</v>
      </c>
      <c r="BD117" s="371">
        <v>18.885999999999999</v>
      </c>
      <c r="BE117" s="371">
        <v>16.684999999999999</v>
      </c>
      <c r="BF117" s="371">
        <v>17.110999999999997</v>
      </c>
      <c r="BG117" s="371">
        <v>20.093</v>
      </c>
      <c r="BH117" s="371">
        <v>18.033999999999999</v>
      </c>
      <c r="BI117" s="371">
        <v>14.909999999999998</v>
      </c>
      <c r="BJ117" s="371">
        <v>10.436999999999999</v>
      </c>
      <c r="BK117" s="371">
        <v>8.2359999999999989</v>
      </c>
      <c r="BL117" s="371">
        <v>10.010999999999999</v>
      </c>
      <c r="BM117" s="371">
        <v>0.14199999999999999</v>
      </c>
      <c r="BO117" s="370">
        <v>261.35099999999994</v>
      </c>
      <c r="BP117" s="371">
        <v>1.349</v>
      </c>
      <c r="BQ117" s="371">
        <v>1.8459999999999999</v>
      </c>
      <c r="BR117" s="371">
        <v>1.9169999999999998</v>
      </c>
      <c r="BS117" s="371">
        <v>2.2719999999999998</v>
      </c>
      <c r="BT117" s="371">
        <v>2.7689999999999997</v>
      </c>
      <c r="BU117" s="371">
        <v>1.7039999999999997</v>
      </c>
      <c r="BV117" s="371">
        <v>2.6269999999999998</v>
      </c>
      <c r="BW117" s="371">
        <v>3.2659999999999996</v>
      </c>
      <c r="BX117" s="371">
        <v>2.7689999999999997</v>
      </c>
      <c r="BY117" s="371">
        <v>3.1239999999999997</v>
      </c>
      <c r="BZ117" s="371">
        <v>2.84</v>
      </c>
      <c r="CA117" s="371">
        <v>2.2009999999999996</v>
      </c>
      <c r="CB117" s="371">
        <v>3.6209999999999996</v>
      </c>
      <c r="CC117" s="371">
        <v>3.1949999999999998</v>
      </c>
      <c r="CD117" s="371">
        <v>3.4079999999999995</v>
      </c>
      <c r="CE117" s="371">
        <v>19.595999999999997</v>
      </c>
      <c r="CF117" s="371">
        <v>15.761999999999999</v>
      </c>
      <c r="CG117" s="371">
        <v>18.033999999999999</v>
      </c>
      <c r="CH117" s="371">
        <v>20.447999999999997</v>
      </c>
      <c r="CI117" s="371">
        <v>18.744</v>
      </c>
      <c r="CJ117" s="371">
        <v>21.157999999999998</v>
      </c>
      <c r="CK117" s="371">
        <v>17.607999999999997</v>
      </c>
      <c r="CL117" s="371">
        <v>17.75</v>
      </c>
      <c r="CM117" s="371">
        <v>18.388999999999999</v>
      </c>
      <c r="CN117" s="371">
        <v>16.258999999999997</v>
      </c>
      <c r="CO117" s="371">
        <v>12.212</v>
      </c>
      <c r="CP117" s="371">
        <v>10.366</v>
      </c>
      <c r="CQ117" s="371">
        <v>5.5379999999999994</v>
      </c>
      <c r="CR117" s="371">
        <v>10.578999999999999</v>
      </c>
      <c r="CS117" s="371">
        <v>0</v>
      </c>
    </row>
    <row r="118" spans="2:97" ht="18.75" hidden="1" customHeight="1" x14ac:dyDescent="0.2">
      <c r="B118" s="372" t="s">
        <v>303</v>
      </c>
      <c r="C118" s="373">
        <v>20225.933500000003</v>
      </c>
      <c r="D118" s="373">
        <v>179.87349999999998</v>
      </c>
      <c r="E118" s="373">
        <v>193.64250000000004</v>
      </c>
      <c r="F118" s="373">
        <v>196.25800000000004</v>
      </c>
      <c r="G118" s="373">
        <v>214.48900000000006</v>
      </c>
      <c r="H118" s="373">
        <v>234.56649999999999</v>
      </c>
      <c r="I118" s="373">
        <v>211.64400000000001</v>
      </c>
      <c r="J118" s="373">
        <v>232.79900000000001</v>
      </c>
      <c r="K118" s="373">
        <v>254.26249999999999</v>
      </c>
      <c r="L118" s="373">
        <v>261.95850000000002</v>
      </c>
      <c r="M118" s="373">
        <v>282.11349999999999</v>
      </c>
      <c r="N118" s="373">
        <v>277.88249999999999</v>
      </c>
      <c r="O118" s="373">
        <v>267.4205</v>
      </c>
      <c r="P118" s="373">
        <v>298.96000000000004</v>
      </c>
      <c r="Q118" s="373">
        <v>291.80499999999995</v>
      </c>
      <c r="R118" s="373">
        <v>286.80499999999995</v>
      </c>
      <c r="S118" s="373">
        <v>1330.0710000000001</v>
      </c>
      <c r="T118" s="373">
        <v>1163.2049999999999</v>
      </c>
      <c r="U118" s="373">
        <v>1360.0815000000002</v>
      </c>
      <c r="V118" s="373">
        <v>1512.1815000000004</v>
      </c>
      <c r="W118" s="373">
        <v>1421.2455</v>
      </c>
      <c r="X118" s="373">
        <v>1452.1665</v>
      </c>
      <c r="Y118" s="373">
        <v>1342.8534999999999</v>
      </c>
      <c r="Z118" s="373">
        <v>1287.4570000000003</v>
      </c>
      <c r="AA118" s="373">
        <v>1324.3005000000001</v>
      </c>
      <c r="AB118" s="373">
        <v>1248.0664999999999</v>
      </c>
      <c r="AC118" s="373">
        <v>1014.1185</v>
      </c>
      <c r="AD118" s="373">
        <v>784.78450000000009</v>
      </c>
      <c r="AE118" s="373">
        <v>557.1450000000001</v>
      </c>
      <c r="AF118" s="373">
        <v>741.77700000000004</v>
      </c>
      <c r="AG118" s="373">
        <v>2</v>
      </c>
      <c r="AI118" s="373">
        <v>10053.870500000003</v>
      </c>
      <c r="AJ118" s="373">
        <v>88.86</v>
      </c>
      <c r="AK118" s="373">
        <v>96.244500000000002</v>
      </c>
      <c r="AL118" s="373">
        <v>96.629000000000005</v>
      </c>
      <c r="AM118" s="373">
        <v>111.09100000000002</v>
      </c>
      <c r="AN118" s="373">
        <v>122.93749999999999</v>
      </c>
      <c r="AO118" s="373">
        <v>114.3995</v>
      </c>
      <c r="AP118" s="373">
        <v>118.246</v>
      </c>
      <c r="AQ118" s="373">
        <v>124.5545</v>
      </c>
      <c r="AR118" s="373">
        <v>128.17150000000001</v>
      </c>
      <c r="AS118" s="373">
        <v>139.018</v>
      </c>
      <c r="AT118" s="373">
        <v>138.17149999999998</v>
      </c>
      <c r="AU118" s="373">
        <v>139.17149999999998</v>
      </c>
      <c r="AV118" s="373">
        <v>148.86450000000002</v>
      </c>
      <c r="AW118" s="373">
        <v>150.78700000000001</v>
      </c>
      <c r="AX118" s="373">
        <v>140.94049999999999</v>
      </c>
      <c r="AY118" s="373">
        <v>658.30449999999996</v>
      </c>
      <c r="AZ118" s="373">
        <v>595.2940000000001</v>
      </c>
      <c r="BA118" s="373">
        <v>668.46100000000001</v>
      </c>
      <c r="BB118" s="373">
        <v>723.78</v>
      </c>
      <c r="BC118" s="373">
        <v>711.00800000000004</v>
      </c>
      <c r="BD118" s="373">
        <v>696.23450000000003</v>
      </c>
      <c r="BE118" s="373">
        <v>639.38350000000003</v>
      </c>
      <c r="BF118" s="373">
        <v>643.53700000000003</v>
      </c>
      <c r="BG118" s="373">
        <v>666.45649999999989</v>
      </c>
      <c r="BH118" s="373">
        <v>637.45650000000001</v>
      </c>
      <c r="BI118" s="373">
        <v>528.82899999999995</v>
      </c>
      <c r="BJ118" s="373">
        <v>406.12550000000005</v>
      </c>
      <c r="BK118" s="373">
        <v>291.41750000000002</v>
      </c>
      <c r="BL118" s="373">
        <v>327.49650000000003</v>
      </c>
      <c r="BM118" s="373">
        <v>2</v>
      </c>
      <c r="BO118" s="373">
        <v>10172.063000000002</v>
      </c>
      <c r="BP118" s="373">
        <v>91.013500000000008</v>
      </c>
      <c r="BQ118" s="373">
        <v>97.398000000000025</v>
      </c>
      <c r="BR118" s="373">
        <v>99.629000000000005</v>
      </c>
      <c r="BS118" s="373">
        <v>103.398</v>
      </c>
      <c r="BT118" s="373">
        <v>111.629</v>
      </c>
      <c r="BU118" s="373">
        <v>97.244500000000002</v>
      </c>
      <c r="BV118" s="373">
        <v>114.553</v>
      </c>
      <c r="BW118" s="373">
        <v>129.708</v>
      </c>
      <c r="BX118" s="373">
        <v>133.78700000000001</v>
      </c>
      <c r="BY118" s="373">
        <v>143.09549999999999</v>
      </c>
      <c r="BZ118" s="373">
        <v>139.71100000000001</v>
      </c>
      <c r="CA118" s="373">
        <v>128.249</v>
      </c>
      <c r="CB118" s="373">
        <v>150.09550000000002</v>
      </c>
      <c r="CC118" s="373">
        <v>141.01799999999997</v>
      </c>
      <c r="CD118" s="373">
        <v>145.86449999999999</v>
      </c>
      <c r="CE118" s="373">
        <v>671.76650000000006</v>
      </c>
      <c r="CF118" s="373">
        <v>567.91099999999994</v>
      </c>
      <c r="CG118" s="373">
        <v>691.62049999999999</v>
      </c>
      <c r="CH118" s="373">
        <v>788.40150000000006</v>
      </c>
      <c r="CI118" s="373">
        <v>710.23750000000007</v>
      </c>
      <c r="CJ118" s="373">
        <v>755.93200000000002</v>
      </c>
      <c r="CK118" s="373">
        <v>703.47</v>
      </c>
      <c r="CL118" s="373">
        <v>643.92000000000007</v>
      </c>
      <c r="CM118" s="373">
        <v>657.84400000000005</v>
      </c>
      <c r="CN118" s="373">
        <v>610.61</v>
      </c>
      <c r="CO118" s="373">
        <v>485.28949999999998</v>
      </c>
      <c r="CP118" s="373">
        <v>378.65899999999999</v>
      </c>
      <c r="CQ118" s="373">
        <v>265.72750000000002</v>
      </c>
      <c r="CR118" s="373">
        <v>414.28050000000007</v>
      </c>
      <c r="CS118" s="373">
        <v>0</v>
      </c>
    </row>
    <row r="119" spans="2:97" hidden="1" x14ac:dyDescent="0.2">
      <c r="B119" s="369"/>
      <c r="C119" s="370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I119" s="370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O119" s="370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</row>
    <row r="120" spans="2:97" hidden="1" x14ac:dyDescent="0.2">
      <c r="B120" s="369" t="s">
        <v>304</v>
      </c>
      <c r="C120" s="370">
        <v>2231.3835591013303</v>
      </c>
      <c r="D120" s="371">
        <v>20.775601650618988</v>
      </c>
      <c r="E120" s="371">
        <v>21.195310774873917</v>
      </c>
      <c r="F120" s="371">
        <v>21.615019899128846</v>
      </c>
      <c r="G120" s="371">
        <v>22.454438147638704</v>
      </c>
      <c r="H120" s="371">
        <v>22.874147271893634</v>
      </c>
      <c r="I120" s="371">
        <v>23.503710958276024</v>
      </c>
      <c r="J120" s="371">
        <v>23.923420082530953</v>
      </c>
      <c r="K120" s="371">
        <v>25.812111141678134</v>
      </c>
      <c r="L120" s="371">
        <v>28.750075011462638</v>
      </c>
      <c r="M120" s="371">
        <v>30.638766070609815</v>
      </c>
      <c r="N120" s="371">
        <v>29.589493259972492</v>
      </c>
      <c r="O120" s="371">
        <v>29.169784135717567</v>
      </c>
      <c r="P120" s="371">
        <v>28.540220449335173</v>
      </c>
      <c r="Q120" s="371">
        <v>27.700802200825315</v>
      </c>
      <c r="R120" s="371">
        <v>27.49094763869785</v>
      </c>
      <c r="S120" s="371">
        <v>118.35797303988997</v>
      </c>
      <c r="T120" s="371">
        <v>118.98753672627237</v>
      </c>
      <c r="U120" s="371">
        <v>155.50223053645118</v>
      </c>
      <c r="V120" s="371">
        <v>159.06975809261809</v>
      </c>
      <c r="W120" s="371">
        <v>152.98397579092162</v>
      </c>
      <c r="X120" s="371">
        <v>151.3051392939019</v>
      </c>
      <c r="Y120" s="371">
        <v>157.18106703347092</v>
      </c>
      <c r="Z120" s="371">
        <v>148.99673911049979</v>
      </c>
      <c r="AA120" s="371">
        <v>141.86168399816597</v>
      </c>
      <c r="AB120" s="371">
        <v>145.00950243007799</v>
      </c>
      <c r="AC120" s="371">
        <v>124.23390077945899</v>
      </c>
      <c r="AD120" s="371">
        <v>99.471062448418166</v>
      </c>
      <c r="AE120" s="371">
        <v>75.127933241632292</v>
      </c>
      <c r="AF120" s="371">
        <v>99.261207886290705</v>
      </c>
      <c r="AG120" s="371">
        <v>0</v>
      </c>
      <c r="AI120" s="370">
        <v>1108.2419425951402</v>
      </c>
      <c r="AJ120" s="371">
        <v>10.912437230628155</v>
      </c>
      <c r="AK120" s="371">
        <v>10.912437230628155</v>
      </c>
      <c r="AL120" s="371">
        <v>10.912437230628155</v>
      </c>
      <c r="AM120" s="371">
        <v>10.912437230628155</v>
      </c>
      <c r="AN120" s="371">
        <v>11.12229179275562</v>
      </c>
      <c r="AO120" s="371">
        <v>11.542000917010547</v>
      </c>
      <c r="AP120" s="371">
        <v>12.171564603392941</v>
      </c>
      <c r="AQ120" s="371">
        <v>13.850401100412657</v>
      </c>
      <c r="AR120" s="371">
        <v>15.739092159559839</v>
      </c>
      <c r="AS120" s="371">
        <v>16.788364970197158</v>
      </c>
      <c r="AT120" s="371">
        <v>15.529237597432372</v>
      </c>
      <c r="AU120" s="371">
        <v>14.89967391104998</v>
      </c>
      <c r="AV120" s="371">
        <v>14.060255662540122</v>
      </c>
      <c r="AW120" s="371">
        <v>14.060255662540122</v>
      </c>
      <c r="AX120" s="371">
        <v>13.850401100412657</v>
      </c>
      <c r="AY120" s="371">
        <v>55.611458963778091</v>
      </c>
      <c r="AZ120" s="371">
        <v>58.549422833562595</v>
      </c>
      <c r="BA120" s="371">
        <v>77.436333425034405</v>
      </c>
      <c r="BB120" s="371">
        <v>76.387060614397072</v>
      </c>
      <c r="BC120" s="371">
        <v>78.905315359926647</v>
      </c>
      <c r="BD120" s="371">
        <v>78.275751673544249</v>
      </c>
      <c r="BE120" s="371">
        <v>75.757496928014689</v>
      </c>
      <c r="BF120" s="371">
        <v>77.856042549289327</v>
      </c>
      <c r="BG120" s="371">
        <v>71.98011480972032</v>
      </c>
      <c r="BH120" s="371">
        <v>71.350551123337937</v>
      </c>
      <c r="BI120" s="371">
        <v>59.808550206327382</v>
      </c>
      <c r="BJ120" s="371">
        <v>50.994658596973871</v>
      </c>
      <c r="BK120" s="371">
        <v>36.724548372306288</v>
      </c>
      <c r="BL120" s="371">
        <v>41.341348739110501</v>
      </c>
      <c r="BM120" s="371">
        <v>0</v>
      </c>
      <c r="BO120" s="370">
        <v>1123.1416165061898</v>
      </c>
      <c r="BP120" s="371">
        <v>9.8631644199908308</v>
      </c>
      <c r="BQ120" s="371">
        <v>10.282873544245762</v>
      </c>
      <c r="BR120" s="371">
        <v>10.702582668500691</v>
      </c>
      <c r="BS120" s="371">
        <v>11.542000917010547</v>
      </c>
      <c r="BT120" s="371">
        <v>11.751855479138012</v>
      </c>
      <c r="BU120" s="371">
        <v>11.961710041265476</v>
      </c>
      <c r="BV120" s="371">
        <v>11.751855479138012</v>
      </c>
      <c r="BW120" s="371">
        <v>11.961710041265476</v>
      </c>
      <c r="BX120" s="371">
        <v>13.010982851902799</v>
      </c>
      <c r="BY120" s="371">
        <v>13.850401100412657</v>
      </c>
      <c r="BZ120" s="371">
        <v>14.060255662540122</v>
      </c>
      <c r="CA120" s="371">
        <v>14.270110224667587</v>
      </c>
      <c r="CB120" s="371">
        <v>14.479964786795051</v>
      </c>
      <c r="CC120" s="371">
        <v>13.640546538285193</v>
      </c>
      <c r="CD120" s="371">
        <v>13.640546538285193</v>
      </c>
      <c r="CE120" s="371">
        <v>62.746514076111886</v>
      </c>
      <c r="CF120" s="371">
        <v>60.438113892709772</v>
      </c>
      <c r="CG120" s="371">
        <v>78.065897111416788</v>
      </c>
      <c r="CH120" s="371">
        <v>82.682697478221002</v>
      </c>
      <c r="CI120" s="371">
        <v>74.078660430994972</v>
      </c>
      <c r="CJ120" s="371">
        <v>73.029387620357639</v>
      </c>
      <c r="CK120" s="371">
        <v>81.423570105456221</v>
      </c>
      <c r="CL120" s="371">
        <v>71.140696561210476</v>
      </c>
      <c r="CM120" s="371">
        <v>69.881569188445667</v>
      </c>
      <c r="CN120" s="371">
        <v>73.658951306740036</v>
      </c>
      <c r="CO120" s="371">
        <v>64.42535057313161</v>
      </c>
      <c r="CP120" s="371">
        <v>48.476403851444303</v>
      </c>
      <c r="CQ120" s="371">
        <v>38.403384869326004</v>
      </c>
      <c r="CR120" s="371">
        <v>57.919859147180205</v>
      </c>
      <c r="CS120" s="371">
        <v>0</v>
      </c>
    </row>
    <row r="121" spans="2:97" hidden="1" x14ac:dyDescent="0.2">
      <c r="B121" s="369" t="s">
        <v>305</v>
      </c>
      <c r="C121" s="370">
        <v>4453</v>
      </c>
      <c r="D121" s="371">
        <v>14</v>
      </c>
      <c r="E121" s="371">
        <v>29</v>
      </c>
      <c r="F121" s="371">
        <v>18</v>
      </c>
      <c r="G121" s="371">
        <v>33</v>
      </c>
      <c r="H121" s="371">
        <v>37</v>
      </c>
      <c r="I121" s="371">
        <v>33</v>
      </c>
      <c r="J121" s="371">
        <v>34</v>
      </c>
      <c r="K121" s="371">
        <v>48</v>
      </c>
      <c r="L121" s="371">
        <v>47</v>
      </c>
      <c r="M121" s="371">
        <v>38</v>
      </c>
      <c r="N121" s="371">
        <v>38</v>
      </c>
      <c r="O121" s="371">
        <v>55</v>
      </c>
      <c r="P121" s="371">
        <v>35</v>
      </c>
      <c r="Q121" s="371">
        <v>37</v>
      </c>
      <c r="R121" s="371">
        <v>53</v>
      </c>
      <c r="S121" s="371">
        <v>222</v>
      </c>
      <c r="T121" s="371">
        <v>262</v>
      </c>
      <c r="U121" s="371">
        <v>318</v>
      </c>
      <c r="V121" s="371">
        <v>374</v>
      </c>
      <c r="W121" s="371">
        <v>342</v>
      </c>
      <c r="X121" s="371">
        <v>309</v>
      </c>
      <c r="Y121" s="371">
        <v>287</v>
      </c>
      <c r="Z121" s="371">
        <v>302</v>
      </c>
      <c r="AA121" s="371">
        <v>386</v>
      </c>
      <c r="AB121" s="371">
        <v>316</v>
      </c>
      <c r="AC121" s="371">
        <v>254</v>
      </c>
      <c r="AD121" s="371">
        <v>186</v>
      </c>
      <c r="AE121" s="371">
        <v>149</v>
      </c>
      <c r="AF121" s="371">
        <v>196</v>
      </c>
      <c r="AG121" s="371">
        <v>1</v>
      </c>
      <c r="AI121" s="370">
        <v>2307</v>
      </c>
      <c r="AJ121" s="371">
        <v>7</v>
      </c>
      <c r="AK121" s="371">
        <v>11</v>
      </c>
      <c r="AL121" s="371">
        <v>9</v>
      </c>
      <c r="AM121" s="371">
        <v>16</v>
      </c>
      <c r="AN121" s="371">
        <v>16</v>
      </c>
      <c r="AO121" s="371">
        <v>18</v>
      </c>
      <c r="AP121" s="371">
        <v>16</v>
      </c>
      <c r="AQ121" s="371">
        <v>26</v>
      </c>
      <c r="AR121" s="371">
        <v>26</v>
      </c>
      <c r="AS121" s="371">
        <v>21</v>
      </c>
      <c r="AT121" s="371">
        <v>21</v>
      </c>
      <c r="AU121" s="371">
        <v>23</v>
      </c>
      <c r="AV121" s="371">
        <v>17</v>
      </c>
      <c r="AW121" s="371">
        <v>16</v>
      </c>
      <c r="AX121" s="371">
        <v>21</v>
      </c>
      <c r="AY121" s="371">
        <v>120</v>
      </c>
      <c r="AZ121" s="371">
        <v>131</v>
      </c>
      <c r="BA121" s="371">
        <v>175</v>
      </c>
      <c r="BB121" s="371">
        <v>197</v>
      </c>
      <c r="BC121" s="371">
        <v>193</v>
      </c>
      <c r="BD121" s="371">
        <v>173</v>
      </c>
      <c r="BE121" s="371">
        <v>146</v>
      </c>
      <c r="BF121" s="371">
        <v>145</v>
      </c>
      <c r="BG121" s="371">
        <v>217</v>
      </c>
      <c r="BH121" s="371">
        <v>161</v>
      </c>
      <c r="BI121" s="371">
        <v>123</v>
      </c>
      <c r="BJ121" s="371">
        <v>92</v>
      </c>
      <c r="BK121" s="371">
        <v>76</v>
      </c>
      <c r="BL121" s="371">
        <v>93</v>
      </c>
      <c r="BM121" s="371">
        <v>1</v>
      </c>
      <c r="BO121" s="370">
        <v>2146</v>
      </c>
      <c r="BP121" s="371">
        <v>7</v>
      </c>
      <c r="BQ121" s="371">
        <v>18</v>
      </c>
      <c r="BR121" s="371">
        <v>9</v>
      </c>
      <c r="BS121" s="371">
        <v>17</v>
      </c>
      <c r="BT121" s="371">
        <v>21</v>
      </c>
      <c r="BU121" s="371">
        <v>15</v>
      </c>
      <c r="BV121" s="371">
        <v>18</v>
      </c>
      <c r="BW121" s="371">
        <v>22</v>
      </c>
      <c r="BX121" s="371">
        <v>21</v>
      </c>
      <c r="BY121" s="371">
        <v>17</v>
      </c>
      <c r="BZ121" s="371">
        <v>17</v>
      </c>
      <c r="CA121" s="371">
        <v>32</v>
      </c>
      <c r="CB121" s="371">
        <v>18</v>
      </c>
      <c r="CC121" s="371">
        <v>21</v>
      </c>
      <c r="CD121" s="371">
        <v>32</v>
      </c>
      <c r="CE121" s="371">
        <v>102</v>
      </c>
      <c r="CF121" s="371">
        <v>131</v>
      </c>
      <c r="CG121" s="371">
        <v>143</v>
      </c>
      <c r="CH121" s="371">
        <v>177</v>
      </c>
      <c r="CI121" s="371">
        <v>149</v>
      </c>
      <c r="CJ121" s="371">
        <v>136</v>
      </c>
      <c r="CK121" s="371">
        <v>141</v>
      </c>
      <c r="CL121" s="371">
        <v>157</v>
      </c>
      <c r="CM121" s="371">
        <v>169</v>
      </c>
      <c r="CN121" s="371">
        <v>155</v>
      </c>
      <c r="CO121" s="371">
        <v>131</v>
      </c>
      <c r="CP121" s="371">
        <v>94</v>
      </c>
      <c r="CQ121" s="371">
        <v>73</v>
      </c>
      <c r="CR121" s="371">
        <v>103</v>
      </c>
      <c r="CS121" s="371">
        <v>0</v>
      </c>
    </row>
    <row r="122" spans="2:97" hidden="1" x14ac:dyDescent="0.2">
      <c r="B122" s="369" t="s">
        <v>306</v>
      </c>
      <c r="C122" s="370">
        <v>1343.376</v>
      </c>
      <c r="D122" s="371">
        <v>7.9039999999999999</v>
      </c>
      <c r="E122" s="371">
        <v>12.16</v>
      </c>
      <c r="F122" s="371">
        <v>12.767999999999999</v>
      </c>
      <c r="G122" s="371">
        <v>12.463999999999999</v>
      </c>
      <c r="H122" s="371">
        <v>14.288</v>
      </c>
      <c r="I122" s="371">
        <v>14.288</v>
      </c>
      <c r="J122" s="371">
        <v>14.288</v>
      </c>
      <c r="K122" s="371">
        <v>15.2</v>
      </c>
      <c r="L122" s="371">
        <v>13.68</v>
      </c>
      <c r="M122" s="371">
        <v>14.896000000000001</v>
      </c>
      <c r="N122" s="371">
        <v>16.72</v>
      </c>
      <c r="O122" s="371">
        <v>16.111999999999998</v>
      </c>
      <c r="P122" s="371">
        <v>17.024000000000001</v>
      </c>
      <c r="Q122" s="371">
        <v>19.759999999999998</v>
      </c>
      <c r="R122" s="371">
        <v>17.631999999999998</v>
      </c>
      <c r="S122" s="371">
        <v>86.335999999999999</v>
      </c>
      <c r="T122" s="371">
        <v>83.295999999999992</v>
      </c>
      <c r="U122" s="371">
        <v>93.936000000000007</v>
      </c>
      <c r="V122" s="371">
        <v>116.12799999999999</v>
      </c>
      <c r="W122" s="371">
        <v>95.455999999999989</v>
      </c>
      <c r="X122" s="371">
        <v>83.295999999999992</v>
      </c>
      <c r="Y122" s="371">
        <v>89.072000000000003</v>
      </c>
      <c r="Z122" s="371">
        <v>95.759999999999991</v>
      </c>
      <c r="AA122" s="371">
        <v>92.415999999999997</v>
      </c>
      <c r="AB122" s="371">
        <v>82.99199999999999</v>
      </c>
      <c r="AC122" s="371">
        <v>67.488</v>
      </c>
      <c r="AD122" s="371">
        <v>53.2</v>
      </c>
      <c r="AE122" s="371">
        <v>36.479999999999997</v>
      </c>
      <c r="AF122" s="371">
        <v>48.335999999999999</v>
      </c>
      <c r="AG122" s="371">
        <v>0</v>
      </c>
      <c r="AI122" s="370">
        <v>662.11200000000008</v>
      </c>
      <c r="AJ122" s="371">
        <v>3.952</v>
      </c>
      <c r="AK122" s="371">
        <v>6.08</v>
      </c>
      <c r="AL122" s="371">
        <v>5.4719999999999995</v>
      </c>
      <c r="AM122" s="371">
        <v>5.1680000000000001</v>
      </c>
      <c r="AN122" s="371">
        <v>8.2080000000000002</v>
      </c>
      <c r="AO122" s="371">
        <v>7.2959999999999994</v>
      </c>
      <c r="AP122" s="371">
        <v>8.2080000000000002</v>
      </c>
      <c r="AQ122" s="371">
        <v>9.4239999999999995</v>
      </c>
      <c r="AR122" s="371">
        <v>6.6879999999999997</v>
      </c>
      <c r="AS122" s="371">
        <v>8.2080000000000002</v>
      </c>
      <c r="AT122" s="371">
        <v>8.2080000000000002</v>
      </c>
      <c r="AU122" s="371">
        <v>7.2959999999999994</v>
      </c>
      <c r="AV122" s="371">
        <v>7.9039999999999999</v>
      </c>
      <c r="AW122" s="371">
        <v>9.4239999999999995</v>
      </c>
      <c r="AX122" s="371">
        <v>9.4239999999999995</v>
      </c>
      <c r="AY122" s="371">
        <v>43.472000000000001</v>
      </c>
      <c r="AZ122" s="371">
        <v>40.128</v>
      </c>
      <c r="BA122" s="371">
        <v>44.384</v>
      </c>
      <c r="BB122" s="371">
        <v>56.543999999999997</v>
      </c>
      <c r="BC122" s="371">
        <v>41.647999999999996</v>
      </c>
      <c r="BD122" s="371">
        <v>41.647999999999996</v>
      </c>
      <c r="BE122" s="371">
        <v>45.6</v>
      </c>
      <c r="BF122" s="371">
        <v>47.12</v>
      </c>
      <c r="BG122" s="371">
        <v>47.12</v>
      </c>
      <c r="BH122" s="371">
        <v>40.735999999999997</v>
      </c>
      <c r="BI122" s="371">
        <v>32.223999999999997</v>
      </c>
      <c r="BJ122" s="371">
        <v>28.576000000000001</v>
      </c>
      <c r="BK122" s="371">
        <v>19.759999999999998</v>
      </c>
      <c r="BL122" s="371">
        <v>22.192</v>
      </c>
      <c r="BM122" s="371">
        <v>0</v>
      </c>
      <c r="BO122" s="370">
        <v>681.26400000000001</v>
      </c>
      <c r="BP122" s="371">
        <v>3.952</v>
      </c>
      <c r="BQ122" s="371">
        <v>6.08</v>
      </c>
      <c r="BR122" s="371">
        <v>7.2959999999999994</v>
      </c>
      <c r="BS122" s="371">
        <v>7.2959999999999994</v>
      </c>
      <c r="BT122" s="371">
        <v>6.08</v>
      </c>
      <c r="BU122" s="371">
        <v>6.992</v>
      </c>
      <c r="BV122" s="371">
        <v>6.08</v>
      </c>
      <c r="BW122" s="371">
        <v>5.7759999999999998</v>
      </c>
      <c r="BX122" s="371">
        <v>6.992</v>
      </c>
      <c r="BY122" s="371">
        <v>6.6879999999999997</v>
      </c>
      <c r="BZ122" s="371">
        <v>8.5120000000000005</v>
      </c>
      <c r="CA122" s="371">
        <v>8.8159999999999989</v>
      </c>
      <c r="CB122" s="371">
        <v>9.1199999999999992</v>
      </c>
      <c r="CC122" s="371">
        <v>10.336</v>
      </c>
      <c r="CD122" s="371">
        <v>8.2080000000000002</v>
      </c>
      <c r="CE122" s="371">
        <v>42.863999999999997</v>
      </c>
      <c r="CF122" s="371">
        <v>43.167999999999999</v>
      </c>
      <c r="CG122" s="371">
        <v>49.552</v>
      </c>
      <c r="CH122" s="371">
        <v>59.583999999999996</v>
      </c>
      <c r="CI122" s="371">
        <v>53.808</v>
      </c>
      <c r="CJ122" s="371">
        <v>41.647999999999996</v>
      </c>
      <c r="CK122" s="371">
        <v>43.472000000000001</v>
      </c>
      <c r="CL122" s="371">
        <v>48.64</v>
      </c>
      <c r="CM122" s="371">
        <v>45.295999999999999</v>
      </c>
      <c r="CN122" s="371">
        <v>42.256</v>
      </c>
      <c r="CO122" s="371">
        <v>35.263999999999996</v>
      </c>
      <c r="CP122" s="371">
        <v>24.623999999999999</v>
      </c>
      <c r="CQ122" s="371">
        <v>16.72</v>
      </c>
      <c r="CR122" s="371">
        <v>26.143999999999998</v>
      </c>
      <c r="CS122" s="371">
        <v>0</v>
      </c>
    </row>
    <row r="123" spans="2:97" hidden="1" x14ac:dyDescent="0.2">
      <c r="B123" s="369" t="s">
        <v>307</v>
      </c>
      <c r="C123" s="370">
        <v>3075.6239999999998</v>
      </c>
      <c r="D123" s="371">
        <v>18.096</v>
      </c>
      <c r="E123" s="371">
        <v>27.839999999999996</v>
      </c>
      <c r="F123" s="371">
        <v>29.231999999999999</v>
      </c>
      <c r="G123" s="371">
        <v>28.536000000000001</v>
      </c>
      <c r="H123" s="371">
        <v>32.711999999999996</v>
      </c>
      <c r="I123" s="371">
        <v>32.712000000000003</v>
      </c>
      <c r="J123" s="371">
        <v>32.711999999999996</v>
      </c>
      <c r="K123" s="371">
        <v>34.799999999999997</v>
      </c>
      <c r="L123" s="371">
        <v>31.32</v>
      </c>
      <c r="M123" s="371">
        <v>34.103999999999999</v>
      </c>
      <c r="N123" s="371">
        <v>38.28</v>
      </c>
      <c r="O123" s="371">
        <v>36.887999999999998</v>
      </c>
      <c r="P123" s="371">
        <v>38.975999999999999</v>
      </c>
      <c r="Q123" s="371">
        <v>45.239999999999995</v>
      </c>
      <c r="R123" s="371">
        <v>40.367999999999995</v>
      </c>
      <c r="S123" s="371">
        <v>197.66399999999999</v>
      </c>
      <c r="T123" s="371">
        <v>190.70400000000001</v>
      </c>
      <c r="U123" s="371">
        <v>215.06399999999999</v>
      </c>
      <c r="V123" s="371">
        <v>265.87199999999996</v>
      </c>
      <c r="W123" s="371">
        <v>218.54399999999998</v>
      </c>
      <c r="X123" s="371">
        <v>190.70399999999998</v>
      </c>
      <c r="Y123" s="371">
        <v>203.928</v>
      </c>
      <c r="Z123" s="371">
        <v>219.23999999999998</v>
      </c>
      <c r="AA123" s="371">
        <v>211.584</v>
      </c>
      <c r="AB123" s="371">
        <v>190.00799999999998</v>
      </c>
      <c r="AC123" s="371">
        <v>154.512</v>
      </c>
      <c r="AD123" s="371">
        <v>121.79999999999998</v>
      </c>
      <c r="AE123" s="371">
        <v>83.519999999999982</v>
      </c>
      <c r="AF123" s="371">
        <v>110.66399999999999</v>
      </c>
      <c r="AG123" s="371">
        <v>0</v>
      </c>
      <c r="AI123" s="370">
        <v>1515.8880000000001</v>
      </c>
      <c r="AJ123" s="371">
        <v>9.048</v>
      </c>
      <c r="AK123" s="371">
        <v>13.919999999999998</v>
      </c>
      <c r="AL123" s="371">
        <v>12.527999999999999</v>
      </c>
      <c r="AM123" s="371">
        <v>11.831999999999999</v>
      </c>
      <c r="AN123" s="371">
        <v>18.791999999999998</v>
      </c>
      <c r="AO123" s="371">
        <v>16.704000000000001</v>
      </c>
      <c r="AP123" s="371">
        <v>18.791999999999998</v>
      </c>
      <c r="AQ123" s="371">
        <v>21.575999999999997</v>
      </c>
      <c r="AR123" s="371">
        <v>15.311999999999999</v>
      </c>
      <c r="AS123" s="371">
        <v>18.791999999999998</v>
      </c>
      <c r="AT123" s="371">
        <v>18.791999999999998</v>
      </c>
      <c r="AU123" s="371">
        <v>16.704000000000001</v>
      </c>
      <c r="AV123" s="371">
        <v>18.096</v>
      </c>
      <c r="AW123" s="371">
        <v>21.575999999999997</v>
      </c>
      <c r="AX123" s="371">
        <v>21.575999999999997</v>
      </c>
      <c r="AY123" s="371">
        <v>99.527999999999992</v>
      </c>
      <c r="AZ123" s="371">
        <v>91.872</v>
      </c>
      <c r="BA123" s="371">
        <v>101.616</v>
      </c>
      <c r="BB123" s="371">
        <v>129.45599999999999</v>
      </c>
      <c r="BC123" s="371">
        <v>95.35199999999999</v>
      </c>
      <c r="BD123" s="371">
        <v>95.35199999999999</v>
      </c>
      <c r="BE123" s="371">
        <v>104.39999999999999</v>
      </c>
      <c r="BF123" s="371">
        <v>107.88</v>
      </c>
      <c r="BG123" s="371">
        <v>107.88</v>
      </c>
      <c r="BH123" s="371">
        <v>93.263999999999996</v>
      </c>
      <c r="BI123" s="371">
        <v>73.775999999999996</v>
      </c>
      <c r="BJ123" s="371">
        <v>65.423999999999992</v>
      </c>
      <c r="BK123" s="371">
        <v>45.239999999999995</v>
      </c>
      <c r="BL123" s="371">
        <v>50.808</v>
      </c>
      <c r="BM123" s="371">
        <v>0</v>
      </c>
      <c r="BO123" s="370">
        <v>1559.7359999999996</v>
      </c>
      <c r="BP123" s="371">
        <v>9.048</v>
      </c>
      <c r="BQ123" s="371">
        <v>13.919999999999998</v>
      </c>
      <c r="BR123" s="371">
        <v>16.704000000000001</v>
      </c>
      <c r="BS123" s="371">
        <v>16.704000000000001</v>
      </c>
      <c r="BT123" s="371">
        <v>13.919999999999998</v>
      </c>
      <c r="BU123" s="371">
        <v>16.007999999999999</v>
      </c>
      <c r="BV123" s="371">
        <v>13.919999999999998</v>
      </c>
      <c r="BW123" s="371">
        <v>13.223999999999998</v>
      </c>
      <c r="BX123" s="371">
        <v>16.007999999999999</v>
      </c>
      <c r="BY123" s="371">
        <v>15.311999999999999</v>
      </c>
      <c r="BZ123" s="371">
        <v>19.488</v>
      </c>
      <c r="CA123" s="371">
        <v>20.183999999999997</v>
      </c>
      <c r="CB123" s="371">
        <v>20.88</v>
      </c>
      <c r="CC123" s="371">
        <v>23.663999999999998</v>
      </c>
      <c r="CD123" s="371">
        <v>18.791999999999998</v>
      </c>
      <c r="CE123" s="371">
        <v>98.135999999999996</v>
      </c>
      <c r="CF123" s="371">
        <v>98.831999999999994</v>
      </c>
      <c r="CG123" s="371">
        <v>113.44799999999999</v>
      </c>
      <c r="CH123" s="371">
        <v>136.416</v>
      </c>
      <c r="CI123" s="371">
        <v>123.19199999999999</v>
      </c>
      <c r="CJ123" s="371">
        <v>95.35199999999999</v>
      </c>
      <c r="CK123" s="371">
        <v>99.527999999999992</v>
      </c>
      <c r="CL123" s="371">
        <v>111.35999999999999</v>
      </c>
      <c r="CM123" s="371">
        <v>103.70399999999999</v>
      </c>
      <c r="CN123" s="371">
        <v>96.744</v>
      </c>
      <c r="CO123" s="371">
        <v>80.73599999999999</v>
      </c>
      <c r="CP123" s="371">
        <v>56.375999999999998</v>
      </c>
      <c r="CQ123" s="371">
        <v>38.279999999999994</v>
      </c>
      <c r="CR123" s="371">
        <v>59.855999999999995</v>
      </c>
      <c r="CS123" s="371">
        <v>0</v>
      </c>
    </row>
    <row r="124" spans="2:97" ht="12.75" hidden="1" customHeight="1" x14ac:dyDescent="0.2">
      <c r="B124" s="372" t="s">
        <v>308</v>
      </c>
      <c r="C124" s="373">
        <v>11103.38355910133</v>
      </c>
      <c r="D124" s="373">
        <v>60.775601650618995</v>
      </c>
      <c r="E124" s="373">
        <v>90.195310774873917</v>
      </c>
      <c r="F124" s="373">
        <v>81.615019899128839</v>
      </c>
      <c r="G124" s="373">
        <v>96.454438147638712</v>
      </c>
      <c r="H124" s="373">
        <v>106.87414727189363</v>
      </c>
      <c r="I124" s="373">
        <v>103.50371095827603</v>
      </c>
      <c r="J124" s="373">
        <v>104.92342008253095</v>
      </c>
      <c r="K124" s="373">
        <v>123.81211114167813</v>
      </c>
      <c r="L124" s="373">
        <v>120.75007501146263</v>
      </c>
      <c r="M124" s="373">
        <v>117.63876607060982</v>
      </c>
      <c r="N124" s="373">
        <v>122.5894932599725</v>
      </c>
      <c r="O124" s="373">
        <v>137.16978413571755</v>
      </c>
      <c r="P124" s="373">
        <v>119.54022044933518</v>
      </c>
      <c r="Q124" s="373">
        <v>129.70080220082531</v>
      </c>
      <c r="R124" s="373">
        <v>138.49094763869783</v>
      </c>
      <c r="S124" s="373">
        <v>624.35797303989</v>
      </c>
      <c r="T124" s="373">
        <v>654.98753672627231</v>
      </c>
      <c r="U124" s="373">
        <v>782.50223053645118</v>
      </c>
      <c r="V124" s="373">
        <v>915.06975809261792</v>
      </c>
      <c r="W124" s="373">
        <v>808.98397579092159</v>
      </c>
      <c r="X124" s="373">
        <v>734.3051392939019</v>
      </c>
      <c r="Y124" s="373">
        <v>737.18106703347087</v>
      </c>
      <c r="Z124" s="373">
        <v>765.99673911049979</v>
      </c>
      <c r="AA124" s="373">
        <v>831.86168399816597</v>
      </c>
      <c r="AB124" s="373">
        <v>734.00950243007787</v>
      </c>
      <c r="AC124" s="373">
        <v>600.23390077945896</v>
      </c>
      <c r="AD124" s="373">
        <v>460.47106244841814</v>
      </c>
      <c r="AE124" s="373">
        <v>344.12793324163226</v>
      </c>
      <c r="AF124" s="373">
        <v>454.26120788629072</v>
      </c>
      <c r="AG124" s="373">
        <v>1</v>
      </c>
      <c r="AI124" s="373">
        <v>5593.2419425951402</v>
      </c>
      <c r="AJ124" s="373">
        <v>30.912437230628157</v>
      </c>
      <c r="AK124" s="373">
        <v>41.912437230628157</v>
      </c>
      <c r="AL124" s="373">
        <v>37.912437230628157</v>
      </c>
      <c r="AM124" s="373">
        <v>43.912437230628157</v>
      </c>
      <c r="AN124" s="373">
        <v>54.122291792755618</v>
      </c>
      <c r="AO124" s="373">
        <v>53.542000917010547</v>
      </c>
      <c r="AP124" s="373">
        <v>55.171564603392937</v>
      </c>
      <c r="AQ124" s="373">
        <v>70.850401100412654</v>
      </c>
      <c r="AR124" s="373">
        <v>63.739092159559839</v>
      </c>
      <c r="AS124" s="373">
        <v>64.788364970197151</v>
      </c>
      <c r="AT124" s="373">
        <v>63.52923759743237</v>
      </c>
      <c r="AU124" s="373">
        <v>61.89967391104998</v>
      </c>
      <c r="AV124" s="373">
        <v>57.060255662540129</v>
      </c>
      <c r="AW124" s="373">
        <v>61.060255662540115</v>
      </c>
      <c r="AX124" s="373">
        <v>65.850401100412654</v>
      </c>
      <c r="AY124" s="373">
        <v>318.61145896377809</v>
      </c>
      <c r="AZ124" s="373">
        <v>321.54942283356263</v>
      </c>
      <c r="BA124" s="373">
        <v>398.43633342503438</v>
      </c>
      <c r="BB124" s="373">
        <v>459.387060614397</v>
      </c>
      <c r="BC124" s="373">
        <v>408.90531535992659</v>
      </c>
      <c r="BD124" s="373">
        <v>388.27575167354422</v>
      </c>
      <c r="BE124" s="373">
        <v>371.75749692801469</v>
      </c>
      <c r="BF124" s="373">
        <v>377.85604254928933</v>
      </c>
      <c r="BG124" s="373">
        <v>443.98011480972031</v>
      </c>
      <c r="BH124" s="373">
        <v>366.35055112333794</v>
      </c>
      <c r="BI124" s="373">
        <v>288.80855020632737</v>
      </c>
      <c r="BJ124" s="373">
        <v>236.99465859697386</v>
      </c>
      <c r="BK124" s="373">
        <v>177.72454837230629</v>
      </c>
      <c r="BL124" s="373">
        <v>207.34134873911051</v>
      </c>
      <c r="BM124" s="373">
        <v>1</v>
      </c>
      <c r="BO124" s="373">
        <v>5510.1416165061901</v>
      </c>
      <c r="BP124" s="373">
        <v>29.863164419990831</v>
      </c>
      <c r="BQ124" s="373">
        <v>48.28287354424576</v>
      </c>
      <c r="BR124" s="373">
        <v>43.702582668500689</v>
      </c>
      <c r="BS124" s="373">
        <v>52.542000917010547</v>
      </c>
      <c r="BT124" s="373">
        <v>52.751855479138015</v>
      </c>
      <c r="BU124" s="373">
        <v>49.961710041265476</v>
      </c>
      <c r="BV124" s="373">
        <v>49.751855479138015</v>
      </c>
      <c r="BW124" s="373">
        <v>52.961710041265469</v>
      </c>
      <c r="BX124" s="373">
        <v>57.010982851902796</v>
      </c>
      <c r="BY124" s="373">
        <v>52.850401100412654</v>
      </c>
      <c r="BZ124" s="373">
        <v>59.060255662540122</v>
      </c>
      <c r="CA124" s="373">
        <v>75.27011022466759</v>
      </c>
      <c r="CB124" s="373">
        <v>62.479964786795051</v>
      </c>
      <c r="CC124" s="373">
        <v>68.640546538285193</v>
      </c>
      <c r="CD124" s="373">
        <v>72.640546538285193</v>
      </c>
      <c r="CE124" s="373">
        <v>305.74651407611191</v>
      </c>
      <c r="CF124" s="373">
        <v>333.43811389270979</v>
      </c>
      <c r="CG124" s="373">
        <v>384.0658971114168</v>
      </c>
      <c r="CH124" s="373">
        <v>455.68269747822103</v>
      </c>
      <c r="CI124" s="373">
        <v>400.078660430995</v>
      </c>
      <c r="CJ124" s="373">
        <v>346.02938762035762</v>
      </c>
      <c r="CK124" s="373">
        <v>365.42357010545618</v>
      </c>
      <c r="CL124" s="373">
        <v>388.14069656121046</v>
      </c>
      <c r="CM124" s="373">
        <v>387.88156918844567</v>
      </c>
      <c r="CN124" s="373">
        <v>367.65895130674005</v>
      </c>
      <c r="CO124" s="373">
        <v>311.4253505731316</v>
      </c>
      <c r="CP124" s="373">
        <v>223.4764038514443</v>
      </c>
      <c r="CQ124" s="373">
        <v>166.403384869326</v>
      </c>
      <c r="CR124" s="373">
        <v>246.9198591471802</v>
      </c>
      <c r="CS124" s="373">
        <v>0</v>
      </c>
    </row>
    <row r="125" spans="2:97" hidden="1" x14ac:dyDescent="0.2">
      <c r="B125" s="369"/>
      <c r="C125" s="370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I125" s="370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O125" s="370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</row>
    <row r="126" spans="2:97" s="378" customFormat="1" ht="19.5" hidden="1" customHeight="1" x14ac:dyDescent="0.2">
      <c r="B126" s="376" t="s">
        <v>309</v>
      </c>
      <c r="C126" s="377">
        <v>930399.42631875002</v>
      </c>
      <c r="D126" s="377">
        <v>5842.1406560342775</v>
      </c>
      <c r="E126" s="377">
        <v>6798.0828589359298</v>
      </c>
      <c r="F126" s="377">
        <v>6852.3109315053898</v>
      </c>
      <c r="G126" s="377">
        <v>7652.4549543086951</v>
      </c>
      <c r="H126" s="377">
        <v>8476.3991211877455</v>
      </c>
      <c r="I126" s="377">
        <v>8614.2990483193316</v>
      </c>
      <c r="J126" s="377">
        <v>8563.8225167949604</v>
      </c>
      <c r="K126" s="377">
        <v>10664.823318205479</v>
      </c>
      <c r="L126" s="377">
        <v>12385.003010774586</v>
      </c>
      <c r="M126" s="377">
        <v>12040.377203181681</v>
      </c>
      <c r="N126" s="377">
        <v>11952.208601174467</v>
      </c>
      <c r="O126" s="377">
        <v>12437.074399159803</v>
      </c>
      <c r="P126" s="377">
        <v>12319.246418224791</v>
      </c>
      <c r="Q126" s="377">
        <v>12324.371659221486</v>
      </c>
      <c r="R126" s="377">
        <v>12423.662405191551</v>
      </c>
      <c r="S126" s="377">
        <v>58665.83194694385</v>
      </c>
      <c r="T126" s="377">
        <v>62753.930359918566</v>
      </c>
      <c r="U126" s="377">
        <v>71046.625729190433</v>
      </c>
      <c r="V126" s="377">
        <v>74837.884462770613</v>
      </c>
      <c r="W126" s="377">
        <v>66684.167814996967</v>
      </c>
      <c r="X126" s="377">
        <v>61346.323837132826</v>
      </c>
      <c r="Y126" s="377">
        <v>55925.721461426481</v>
      </c>
      <c r="Z126" s="377">
        <v>55169.555176914429</v>
      </c>
      <c r="AA126" s="377">
        <v>60214.136556245925</v>
      </c>
      <c r="AB126" s="377">
        <v>58655.692556438778</v>
      </c>
      <c r="AC126" s="377">
        <v>48978.417923946312</v>
      </c>
      <c r="AD126" s="377">
        <v>37514.717501641237</v>
      </c>
      <c r="AE126" s="377">
        <v>29671.030129781633</v>
      </c>
      <c r="AF126" s="377">
        <v>39194.113759181797</v>
      </c>
      <c r="AG126" s="377">
        <v>395</v>
      </c>
      <c r="AI126" s="377">
        <v>430736.00895031641</v>
      </c>
      <c r="AJ126" s="377">
        <v>2974.2289192546505</v>
      </c>
      <c r="AK126" s="377">
        <v>3489.9939601868423</v>
      </c>
      <c r="AL126" s="377">
        <v>3441.5116941868423</v>
      </c>
      <c r="AM126" s="377">
        <v>3963.1733450094448</v>
      </c>
      <c r="AN126" s="377">
        <v>4427.5490096393796</v>
      </c>
      <c r="AO126" s="377">
        <v>4361.0565648540451</v>
      </c>
      <c r="AP126" s="377">
        <v>4308.0344301370042</v>
      </c>
      <c r="AQ126" s="377">
        <v>5377.6556011662169</v>
      </c>
      <c r="AR126" s="377">
        <v>6257.4977802411213</v>
      </c>
      <c r="AS126" s="377">
        <v>6126.8425125805279</v>
      </c>
      <c r="AT126" s="377">
        <v>5972.669667675571</v>
      </c>
      <c r="AU126" s="377">
        <v>6332.9736871665855</v>
      </c>
      <c r="AV126" s="377">
        <v>6257.8948868050629</v>
      </c>
      <c r="AW126" s="377">
        <v>6209.751370337256</v>
      </c>
      <c r="AX126" s="377">
        <v>6314.6353863299219</v>
      </c>
      <c r="AY126" s="377">
        <v>29629.380301395537</v>
      </c>
      <c r="AZ126" s="377">
        <v>30903.069647839304</v>
      </c>
      <c r="BA126" s="377">
        <v>33837.976935711631</v>
      </c>
      <c r="BB126" s="377">
        <v>34235.439400532508</v>
      </c>
      <c r="BC126" s="377">
        <v>30193.894002234185</v>
      </c>
      <c r="BD126" s="377">
        <v>27738.059813208762</v>
      </c>
      <c r="BE126" s="377">
        <v>25086.264377589934</v>
      </c>
      <c r="BF126" s="377">
        <v>24856.176164620771</v>
      </c>
      <c r="BG126" s="377">
        <v>27358.753217703805</v>
      </c>
      <c r="BH126" s="377">
        <v>26341.15520317015</v>
      </c>
      <c r="BI126" s="377">
        <v>21706.256751166798</v>
      </c>
      <c r="BJ126" s="377">
        <v>16566.083375438237</v>
      </c>
      <c r="BK126" s="377">
        <v>12434.974917942982</v>
      </c>
      <c r="BL126" s="377">
        <v>13792.056026191285</v>
      </c>
      <c r="BM126" s="377">
        <v>241</v>
      </c>
      <c r="BO126" s="377">
        <v>499663.41736843367</v>
      </c>
      <c r="BP126" s="377">
        <v>2867.9117367796275</v>
      </c>
      <c r="BQ126" s="377">
        <v>3308.0888987490875</v>
      </c>
      <c r="BR126" s="377">
        <v>3410.7992373185475</v>
      </c>
      <c r="BS126" s="377">
        <v>3689.2816092992502</v>
      </c>
      <c r="BT126" s="377">
        <v>4048.8501115483646</v>
      </c>
      <c r="BU126" s="377">
        <v>4253.2424834652866</v>
      </c>
      <c r="BV126" s="377">
        <v>4255.7880866579544</v>
      </c>
      <c r="BW126" s="377">
        <v>5287.1677170392613</v>
      </c>
      <c r="BX126" s="377">
        <v>6127.5052305334639</v>
      </c>
      <c r="BY126" s="377">
        <v>5913.5346906011537</v>
      </c>
      <c r="BZ126" s="377">
        <v>5979.5389334988959</v>
      </c>
      <c r="CA126" s="377">
        <v>6104.1007119932156</v>
      </c>
      <c r="CB126" s="377">
        <v>6061.3515314197284</v>
      </c>
      <c r="CC126" s="377">
        <v>6114.6202888842308</v>
      </c>
      <c r="CD126" s="377">
        <v>6109.0270188616287</v>
      </c>
      <c r="CE126" s="377">
        <v>29036.451645548306</v>
      </c>
      <c r="CF126" s="377">
        <v>31850.860712079266</v>
      </c>
      <c r="CG126" s="377">
        <v>37208.648793478795</v>
      </c>
      <c r="CH126" s="377">
        <v>40602.445062238112</v>
      </c>
      <c r="CI126" s="377">
        <v>36490.273812762796</v>
      </c>
      <c r="CJ126" s="377">
        <v>33608.264023924057</v>
      </c>
      <c r="CK126" s="377">
        <v>30839.457083836547</v>
      </c>
      <c r="CL126" s="377">
        <v>30313.379012293655</v>
      </c>
      <c r="CM126" s="377">
        <v>32855.383338542131</v>
      </c>
      <c r="CN126" s="377">
        <v>32314.537353268632</v>
      </c>
      <c r="CO126" s="377">
        <v>27272.161172779517</v>
      </c>
      <c r="CP126" s="377">
        <v>20948.634126203004</v>
      </c>
      <c r="CQ126" s="377">
        <v>17236.055211838648</v>
      </c>
      <c r="CR126" s="377">
        <v>25402.057732990506</v>
      </c>
      <c r="CS126" s="377">
        <v>154</v>
      </c>
    </row>
    <row r="127" spans="2:97" ht="15.75" customHeight="1" x14ac:dyDescent="0.2">
      <c r="C127" s="379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I127" s="379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O127" s="379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5"/>
      <c r="CC127" s="375"/>
      <c r="CD127" s="375"/>
      <c r="CE127" s="375"/>
      <c r="CF127" s="375"/>
      <c r="CG127" s="375"/>
      <c r="CH127" s="375"/>
      <c r="CI127" s="375"/>
      <c r="CJ127" s="375"/>
      <c r="CK127" s="375"/>
      <c r="CL127" s="375"/>
      <c r="CM127" s="375"/>
      <c r="CN127" s="375"/>
      <c r="CO127" s="375"/>
      <c r="CP127" s="375"/>
      <c r="CQ127" s="375"/>
      <c r="CR127" s="375"/>
      <c r="CS127" s="375"/>
    </row>
  </sheetData>
  <mergeCells count="92"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BZ4:BZ5"/>
    <mergeCell ref="CA4:CA5"/>
    <mergeCell ref="CB4:CB5"/>
    <mergeCell ref="CC4:CC5"/>
    <mergeCell ref="CD4:CD5"/>
    <mergeCell ref="BU4:BU5"/>
    <mergeCell ref="BV4:BV5"/>
    <mergeCell ref="BW4:BW5"/>
    <mergeCell ref="BX4:BX5"/>
    <mergeCell ref="BY4:BY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20</vt:i4>
      </vt:variant>
    </vt:vector>
  </HeadingPairs>
  <TitlesOfParts>
    <vt:vector size="35" baseType="lpstr">
      <vt:lpstr>RESUMEN INDICADORES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2024-06-26T14:18:05Z</dcterms:modified>
</cp:coreProperties>
</file>